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Plan financier Excel\"/>
    </mc:Choice>
  </mc:AlternateContent>
  <bookViews>
    <workbookView xWindow="240" yWindow="75" windowWidth="18960" windowHeight="7995"/>
  </bookViews>
  <sheets>
    <sheet name="Données à saisir" sheetId="1" r:id="rId1"/>
    <sheet name="Plan financier à imprimer" sheetId="2" r:id="rId2"/>
    <sheet name="Allez plus loin" sheetId="3" r:id="rId3"/>
  </sheets>
  <definedNames>
    <definedName name="_xlnm.Print_Area" localSheetId="1">'Plan financier à imprimer'!$A$1:$BO$49</definedName>
  </definedNames>
  <calcPr calcId="152511"/>
</workbook>
</file>

<file path=xl/calcChain.xml><?xml version="1.0" encoding="utf-8"?>
<calcChain xmlns="http://schemas.openxmlformats.org/spreadsheetml/2006/main">
  <c r="B117" i="1" l="1"/>
  <c r="B116" i="1"/>
  <c r="F91" i="1"/>
  <c r="B75" i="1"/>
  <c r="B70" i="1"/>
  <c r="B69" i="1"/>
  <c r="B65" i="1"/>
  <c r="D48" i="1"/>
  <c r="BM23" i="2" l="1"/>
  <c r="BM22" i="2"/>
  <c r="BL23" i="2"/>
  <c r="BL22" i="2"/>
  <c r="BK23" i="2"/>
  <c r="BK22" i="2"/>
  <c r="BJ23" i="2"/>
  <c r="BJ22" i="2"/>
  <c r="BI23" i="2"/>
  <c r="BI22" i="2"/>
  <c r="BH23" i="2"/>
  <c r="BH22" i="2"/>
  <c r="BG23" i="2"/>
  <c r="BG22" i="2"/>
  <c r="BD23" i="2"/>
  <c r="BD22" i="2"/>
  <c r="BC23" i="2"/>
  <c r="BC22" i="2"/>
  <c r="BB23" i="2"/>
  <c r="BB22" i="2"/>
  <c r="BA23" i="2"/>
  <c r="BA22" i="2"/>
  <c r="AZ23" i="2"/>
  <c r="AZ22" i="2"/>
  <c r="BM21" i="2"/>
  <c r="BM40" i="2" s="1"/>
  <c r="BL21" i="2"/>
  <c r="BL40" i="2" s="1"/>
  <c r="BK21" i="2"/>
  <c r="BJ21" i="2"/>
  <c r="BJ40" i="2" s="1"/>
  <c r="BI21" i="2"/>
  <c r="BI40" i="2" s="1"/>
  <c r="BH21" i="2"/>
  <c r="BH40" i="2" s="1"/>
  <c r="BG21" i="2"/>
  <c r="BD21" i="2"/>
  <c r="BD40" i="2" s="1"/>
  <c r="BC21" i="2"/>
  <c r="BB21" i="2"/>
  <c r="BB40" i="2" s="1"/>
  <c r="BA21" i="2"/>
  <c r="AZ21" i="2"/>
  <c r="BM20" i="2"/>
  <c r="BL20" i="2"/>
  <c r="BK20" i="2"/>
  <c r="BJ20" i="2"/>
  <c r="BI20" i="2"/>
  <c r="BH20" i="2"/>
  <c r="BG20" i="2"/>
  <c r="BD20" i="2"/>
  <c r="BC20" i="2"/>
  <c r="BB20" i="2"/>
  <c r="BA20" i="2"/>
  <c r="BA40" i="2" s="1"/>
  <c r="AZ20" i="2"/>
  <c r="Q36" i="2"/>
  <c r="Q37" i="2"/>
  <c r="Q38" i="2"/>
  <c r="G102" i="1"/>
  <c r="AG15" i="2" s="1"/>
  <c r="AH15" i="2" s="1"/>
  <c r="AI15" i="2" s="1"/>
  <c r="F102" i="1"/>
  <c r="AG14" i="2" s="1"/>
  <c r="AH14" i="2" s="1"/>
  <c r="AI14" i="2" s="1"/>
  <c r="E102" i="1"/>
  <c r="AG13" i="2" s="1"/>
  <c r="AH13" i="2" s="1"/>
  <c r="AI13" i="2" s="1"/>
  <c r="D102" i="1"/>
  <c r="D126" i="1"/>
  <c r="AI42" i="2" s="1"/>
  <c r="C126" i="1"/>
  <c r="AH42" i="2" s="1"/>
  <c r="B126" i="1"/>
  <c r="AG42" i="2" s="1"/>
  <c r="B32" i="1"/>
  <c r="BC40" i="2" l="1"/>
  <c r="BG40" i="2"/>
  <c r="BN23" i="2"/>
  <c r="BN22" i="2"/>
  <c r="BN21" i="2"/>
  <c r="Q35" i="2"/>
  <c r="AZ15" i="2" s="1"/>
  <c r="D58" i="1"/>
  <c r="K58" i="1" s="1"/>
  <c r="D59" i="1"/>
  <c r="J59" i="1" s="1"/>
  <c r="B58" i="1"/>
  <c r="B59" i="1"/>
  <c r="C59" i="1" s="1"/>
  <c r="D57" i="1"/>
  <c r="L57" i="1" s="1"/>
  <c r="B57" i="1"/>
  <c r="K45" i="2"/>
  <c r="K44" i="2"/>
  <c r="K43" i="2"/>
  <c r="K42" i="2"/>
  <c r="K41" i="2"/>
  <c r="K40" i="2"/>
  <c r="AC35" i="2"/>
  <c r="AC34" i="2"/>
  <c r="AC33" i="2"/>
  <c r="AI35" i="2"/>
  <c r="AH35" i="2"/>
  <c r="AG35" i="2"/>
  <c r="AI34" i="2"/>
  <c r="AH34" i="2"/>
  <c r="AG34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Q42" i="2"/>
  <c r="Q41" i="2"/>
  <c r="Q40" i="2"/>
  <c r="Q44" i="2"/>
  <c r="Q43" i="2"/>
  <c r="AI38" i="2"/>
  <c r="AS19" i="2" s="1"/>
  <c r="AH38" i="2"/>
  <c r="AQ19" i="2" s="1"/>
  <c r="AG38" i="2"/>
  <c r="BC32" i="2" s="1"/>
  <c r="BF44" i="2"/>
  <c r="BE44" i="2"/>
  <c r="AW38" i="2"/>
  <c r="AW36" i="2"/>
  <c r="AW35" i="2"/>
  <c r="AW34" i="2"/>
  <c r="AW33" i="2"/>
  <c r="AW32" i="2"/>
  <c r="BI6" i="2"/>
  <c r="AY6" i="2"/>
  <c r="L59" i="1"/>
  <c r="B40" i="1"/>
  <c r="C40" i="1" s="1"/>
  <c r="A40" i="1"/>
  <c r="B39" i="1"/>
  <c r="C39" i="1" s="1"/>
  <c r="X45" i="2" s="1"/>
  <c r="A39" i="1"/>
  <c r="B38" i="1"/>
  <c r="C38" i="1" s="1"/>
  <c r="A38" i="1"/>
  <c r="B37" i="1"/>
  <c r="C37" i="1" s="1"/>
  <c r="A37" i="1"/>
  <c r="B36" i="1"/>
  <c r="C36" i="1" s="1"/>
  <c r="A36" i="1"/>
  <c r="B35" i="1"/>
  <c r="C35" i="1" s="1"/>
  <c r="A35" i="1"/>
  <c r="B34" i="1"/>
  <c r="C34" i="1" s="1"/>
  <c r="X37" i="2" s="1"/>
  <c r="A34" i="1"/>
  <c r="B33" i="1"/>
  <c r="C33" i="1" s="1"/>
  <c r="X36" i="2" s="1"/>
  <c r="A33" i="1"/>
  <c r="Q13" i="2"/>
  <c r="K13" i="2"/>
  <c r="T36" i="2" s="1"/>
  <c r="Z17" i="2"/>
  <c r="Y17" i="2"/>
  <c r="X17" i="2"/>
  <c r="Z13" i="2"/>
  <c r="Y13" i="2"/>
  <c r="X13" i="2"/>
  <c r="V6" i="2"/>
  <c r="O42" i="2"/>
  <c r="O41" i="2"/>
  <c r="O40" i="2"/>
  <c r="N42" i="2"/>
  <c r="N41" i="2"/>
  <c r="N40" i="2"/>
  <c r="AN6" i="2"/>
  <c r="AI41" i="2"/>
  <c r="AH41" i="2"/>
  <c r="AG41" i="2"/>
  <c r="BM35" i="2" s="1"/>
  <c r="AI39" i="2"/>
  <c r="AH39" i="2"/>
  <c r="AG39" i="2"/>
  <c r="BC33" i="2" s="1"/>
  <c r="BM19" i="2"/>
  <c r="BM24" i="2" s="1"/>
  <c r="BL19" i="2"/>
  <c r="BL24" i="2" s="1"/>
  <c r="BK19" i="2"/>
  <c r="BK30" i="2" s="1"/>
  <c r="BJ19" i="2"/>
  <c r="BJ24" i="2" s="1"/>
  <c r="BI19" i="2"/>
  <c r="BI30" i="2" s="1"/>
  <c r="BH19" i="2"/>
  <c r="BH24" i="2" s="1"/>
  <c r="BG19" i="2"/>
  <c r="BG30" i="2" s="1"/>
  <c r="BD19" i="2"/>
  <c r="BD24" i="2" s="1"/>
  <c r="BC19" i="2"/>
  <c r="BC24" i="2" s="1"/>
  <c r="BB19" i="2"/>
  <c r="BB24" i="2" s="1"/>
  <c r="BA19" i="2"/>
  <c r="BA24" i="2" s="1"/>
  <c r="AZ19" i="2"/>
  <c r="D125" i="1"/>
  <c r="AI40" i="2" s="1"/>
  <c r="C125" i="1"/>
  <c r="AH40" i="2" s="1"/>
  <c r="B125" i="1"/>
  <c r="X19" i="2" s="1"/>
  <c r="L58" i="1"/>
  <c r="AZ35" i="2"/>
  <c r="J58" i="1"/>
  <c r="K59" i="1"/>
  <c r="H59" i="1"/>
  <c r="I59" i="1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E6" i="2"/>
  <c r="M6" i="2"/>
  <c r="Q45" i="2"/>
  <c r="Q28" i="2"/>
  <c r="K28" i="2"/>
  <c r="Q27" i="2"/>
  <c r="AZ28" i="2" s="1"/>
  <c r="BN28" i="2" s="1"/>
  <c r="Q25" i="2"/>
  <c r="Q24" i="2"/>
  <c r="Q23" i="2"/>
  <c r="Q22" i="2"/>
  <c r="Q21" i="2"/>
  <c r="Q18" i="2"/>
  <c r="Q17" i="2"/>
  <c r="Q16" i="2"/>
  <c r="Q15" i="2"/>
  <c r="Q14" i="2"/>
  <c r="K27" i="2"/>
  <c r="K25" i="2"/>
  <c r="T46" i="2" s="1"/>
  <c r="K24" i="2"/>
  <c r="T45" i="2" s="1"/>
  <c r="K23" i="2"/>
  <c r="T44" i="2" s="1"/>
  <c r="K22" i="2"/>
  <c r="T43" i="2" s="1"/>
  <c r="K21" i="2"/>
  <c r="T42" i="2" s="1"/>
  <c r="K18" i="2"/>
  <c r="T38" i="2" s="1"/>
  <c r="K17" i="2"/>
  <c r="K16" i="2"/>
  <c r="K15" i="2"/>
  <c r="T37" i="2" s="1"/>
  <c r="K14" i="2"/>
  <c r="C44" i="2"/>
  <c r="C43" i="2"/>
  <c r="C42" i="2"/>
  <c r="C33" i="2"/>
  <c r="C28" i="2"/>
  <c r="C47" i="2"/>
  <c r="D84" i="1"/>
  <c r="C84" i="1"/>
  <c r="B84" i="1"/>
  <c r="B54" i="1"/>
  <c r="B27" i="1"/>
  <c r="D37" i="1"/>
  <c r="Y43" i="2" s="1"/>
  <c r="BK40" i="2" l="1"/>
  <c r="D39" i="1"/>
  <c r="Y45" i="2" s="1"/>
  <c r="BB32" i="2"/>
  <c r="E58" i="1"/>
  <c r="I58" i="1" s="1"/>
  <c r="AG40" i="2"/>
  <c r="BH34" i="2" s="1"/>
  <c r="Y14" i="2"/>
  <c r="BI32" i="2"/>
  <c r="BH32" i="2"/>
  <c r="BJ32" i="2"/>
  <c r="BA32" i="2"/>
  <c r="BM32" i="2"/>
  <c r="AZ17" i="2"/>
  <c r="BN17" i="2" s="1"/>
  <c r="AZ18" i="2"/>
  <c r="BN18" i="2" s="1"/>
  <c r="BA35" i="2"/>
  <c r="AZ30" i="2"/>
  <c r="AZ24" i="2"/>
  <c r="BK24" i="2"/>
  <c r="BG24" i="2"/>
  <c r="BI24" i="2"/>
  <c r="BB35" i="2"/>
  <c r="BI35" i="2"/>
  <c r="BH35" i="2"/>
  <c r="AZ32" i="2"/>
  <c r="BG32" i="2"/>
  <c r="BL32" i="2"/>
  <c r="AO19" i="2"/>
  <c r="BC35" i="2"/>
  <c r="BK35" i="2"/>
  <c r="AG19" i="2"/>
  <c r="AZ31" i="2" s="1"/>
  <c r="AH19" i="2"/>
  <c r="AQ17" i="2" s="1"/>
  <c r="BD32" i="2"/>
  <c r="BK32" i="2"/>
  <c r="BL35" i="2"/>
  <c r="BG35" i="2"/>
  <c r="BJ35" i="2"/>
  <c r="Y18" i="2"/>
  <c r="BB33" i="2"/>
  <c r="BD35" i="2"/>
  <c r="AZ33" i="2"/>
  <c r="BK33" i="2"/>
  <c r="BI33" i="2"/>
  <c r="BG33" i="2"/>
  <c r="BH33" i="2"/>
  <c r="BJ33" i="2"/>
  <c r="H58" i="1"/>
  <c r="C58" i="1"/>
  <c r="D38" i="1"/>
  <c r="Y44" i="2" s="1"/>
  <c r="BC30" i="2"/>
  <c r="Z19" i="2"/>
  <c r="Z18" i="2"/>
  <c r="Z14" i="2"/>
  <c r="BB30" i="2"/>
  <c r="Q20" i="2"/>
  <c r="AZ26" i="2" s="1"/>
  <c r="BN26" i="2" s="1"/>
  <c r="D34" i="1"/>
  <c r="Y37" i="2" s="1"/>
  <c r="AZ34" i="2"/>
  <c r="AI19" i="2"/>
  <c r="AS17" i="2" s="1"/>
  <c r="E59" i="1"/>
  <c r="G59" i="1" s="1"/>
  <c r="D40" i="1"/>
  <c r="Y46" i="2" s="1"/>
  <c r="BG34" i="2"/>
  <c r="BA33" i="2"/>
  <c r="BM33" i="2"/>
  <c r="BL33" i="2"/>
  <c r="AO20" i="2"/>
  <c r="BD33" i="2"/>
  <c r="BM30" i="2"/>
  <c r="X38" i="2"/>
  <c r="X42" i="2"/>
  <c r="X44" i="2"/>
  <c r="X46" i="2"/>
  <c r="BN19" i="2"/>
  <c r="BA30" i="2"/>
  <c r="BH30" i="2"/>
  <c r="F58" i="1"/>
  <c r="G58" i="1"/>
  <c r="D35" i="1"/>
  <c r="E35" i="1" s="1"/>
  <c r="Z38" i="2" s="1"/>
  <c r="BD30" i="2"/>
  <c r="BN20" i="2"/>
  <c r="X43" i="2"/>
  <c r="BJ30" i="2"/>
  <c r="E39" i="1"/>
  <c r="F39" i="1" s="1"/>
  <c r="G39" i="1" s="1"/>
  <c r="H39" i="1" s="1"/>
  <c r="E37" i="1"/>
  <c r="D36" i="1"/>
  <c r="BL30" i="2"/>
  <c r="Q12" i="2"/>
  <c r="Y19" i="2"/>
  <c r="D33" i="1"/>
  <c r="C102" i="1"/>
  <c r="AG12" i="2"/>
  <c r="AH12" i="2" s="1"/>
  <c r="AI12" i="2" s="1"/>
  <c r="Q39" i="2"/>
  <c r="AZ16" i="2" s="1"/>
  <c r="L60" i="1"/>
  <c r="BM34" i="2"/>
  <c r="J57" i="1"/>
  <c r="AO45" i="2" s="1"/>
  <c r="K57" i="1"/>
  <c r="AQ45" i="2" s="1"/>
  <c r="E57" i="1"/>
  <c r="I57" i="1" s="1"/>
  <c r="AI44" i="2" s="1"/>
  <c r="AS24" i="2" s="1"/>
  <c r="C54" i="1"/>
  <c r="AQ20" i="2"/>
  <c r="Y15" i="2"/>
  <c r="BB36" i="2"/>
  <c r="C57" i="1"/>
  <c r="BI36" i="2"/>
  <c r="X15" i="2"/>
  <c r="BL36" i="2"/>
  <c r="BG36" i="2"/>
  <c r="AS45" i="2"/>
  <c r="BN15" i="2"/>
  <c r="Z15" i="2"/>
  <c r="AS20" i="2"/>
  <c r="BH36" i="2"/>
  <c r="BC36" i="2"/>
  <c r="BM36" i="2"/>
  <c r="C32" i="1"/>
  <c r="AZ36" i="2"/>
  <c r="BJ36" i="2"/>
  <c r="BA36" i="2"/>
  <c r="BK36" i="2"/>
  <c r="BD36" i="2"/>
  <c r="AZ40" i="2" l="1"/>
  <c r="BL34" i="2"/>
  <c r="BJ34" i="2"/>
  <c r="BJ37" i="2" s="1"/>
  <c r="BB34" i="2"/>
  <c r="BI34" i="2"/>
  <c r="BI37" i="2" s="1"/>
  <c r="BA34" i="2"/>
  <c r="BC34" i="2"/>
  <c r="BC37" i="2" s="1"/>
  <c r="BD34" i="2"/>
  <c r="BD37" i="2" s="1"/>
  <c r="BK34" i="2"/>
  <c r="BD31" i="2"/>
  <c r="BG31" i="2"/>
  <c r="BK31" i="2"/>
  <c r="BA31" i="2"/>
  <c r="BC31" i="2"/>
  <c r="BH31" i="2"/>
  <c r="BL31" i="2"/>
  <c r="BB31" i="2"/>
  <c r="BJ31" i="2"/>
  <c r="BM31" i="2"/>
  <c r="AO17" i="2"/>
  <c r="BI31" i="2"/>
  <c r="BN32" i="2"/>
  <c r="AG11" i="2"/>
  <c r="AG10" i="2" s="1"/>
  <c r="H102" i="1"/>
  <c r="BN35" i="2"/>
  <c r="BH37" i="2"/>
  <c r="H57" i="1"/>
  <c r="AH44" i="2" s="1"/>
  <c r="AQ24" i="2" s="1"/>
  <c r="AQ25" i="2" s="1"/>
  <c r="BK37" i="2"/>
  <c r="E40" i="1"/>
  <c r="Z46" i="2" s="1"/>
  <c r="E38" i="1"/>
  <c r="F38" i="1" s="1"/>
  <c r="BG37" i="2"/>
  <c r="F59" i="1"/>
  <c r="Q30" i="2"/>
  <c r="AZ25" i="2"/>
  <c r="BN25" i="2" s="1"/>
  <c r="BM37" i="2"/>
  <c r="J60" i="1"/>
  <c r="BB29" i="2" s="1"/>
  <c r="G57" i="1"/>
  <c r="AG44" i="2" s="1"/>
  <c r="AO24" i="2" s="1"/>
  <c r="BN30" i="2"/>
  <c r="BA37" i="2"/>
  <c r="BN33" i="2"/>
  <c r="E34" i="1"/>
  <c r="BL37" i="2"/>
  <c r="BN16" i="2"/>
  <c r="BN40" i="2"/>
  <c r="Y36" i="2"/>
  <c r="Q47" i="2"/>
  <c r="Y42" i="2"/>
  <c r="Y40" i="2" s="1"/>
  <c r="E36" i="1"/>
  <c r="Z45" i="2"/>
  <c r="F35" i="1"/>
  <c r="I60" i="1"/>
  <c r="E33" i="1"/>
  <c r="Z36" i="2" s="1"/>
  <c r="Z43" i="2"/>
  <c r="F37" i="1"/>
  <c r="G37" i="1" s="1"/>
  <c r="H37" i="1" s="1"/>
  <c r="BN24" i="2"/>
  <c r="Z44" i="2"/>
  <c r="F57" i="1"/>
  <c r="K60" i="1"/>
  <c r="X34" i="2"/>
  <c r="Y38" i="2"/>
  <c r="I39" i="1"/>
  <c r="X40" i="2"/>
  <c r="AS25" i="2"/>
  <c r="BH29" i="2"/>
  <c r="AZ29" i="2"/>
  <c r="BD29" i="2"/>
  <c r="BN36" i="2"/>
  <c r="AZ37" i="2"/>
  <c r="D32" i="1"/>
  <c r="E32" i="1" s="1"/>
  <c r="AI45" i="2" s="1"/>
  <c r="AG45" i="2"/>
  <c r="BN34" i="2" l="1"/>
  <c r="AG16" i="2"/>
  <c r="BK29" i="2"/>
  <c r="BB37" i="2"/>
  <c r="BN37" i="2" s="1"/>
  <c r="BN31" i="2"/>
  <c r="AH11" i="2"/>
  <c r="AH10" i="2" s="1"/>
  <c r="BI29" i="2"/>
  <c r="BM29" i="2"/>
  <c r="BL29" i="2"/>
  <c r="BG29" i="2"/>
  <c r="F40" i="1"/>
  <c r="G40" i="1" s="1"/>
  <c r="AG18" i="2"/>
  <c r="AG37" i="2" s="1"/>
  <c r="BA29" i="2"/>
  <c r="BJ29" i="2"/>
  <c r="BA38" i="2"/>
  <c r="BC29" i="2"/>
  <c r="AZ27" i="2"/>
  <c r="BN27" i="2" s="1"/>
  <c r="BK38" i="2"/>
  <c r="BK39" i="2" s="1"/>
  <c r="BK42" i="2" s="1"/>
  <c r="BI38" i="2"/>
  <c r="BI39" i="2" s="1"/>
  <c r="BI42" i="2" s="1"/>
  <c r="BC38" i="2"/>
  <c r="BG38" i="2"/>
  <c r="BH38" i="2"/>
  <c r="BH39" i="2" s="1"/>
  <c r="BH42" i="2" s="1"/>
  <c r="AZ38" i="2"/>
  <c r="BJ38" i="2"/>
  <c r="BD38" i="2"/>
  <c r="BD39" i="2" s="1"/>
  <c r="BD42" i="2" s="1"/>
  <c r="BM38" i="2"/>
  <c r="BM39" i="2" s="1"/>
  <c r="BM42" i="2" s="1"/>
  <c r="BL38" i="2"/>
  <c r="BB38" i="2"/>
  <c r="BB39" i="2" s="1"/>
  <c r="BB42" i="2" s="1"/>
  <c r="Y34" i="2"/>
  <c r="Y48" i="2" s="1"/>
  <c r="Z37" i="2"/>
  <c r="Z34" i="2" s="1"/>
  <c r="F34" i="1"/>
  <c r="X48" i="2"/>
  <c r="AO13" i="2"/>
  <c r="AO14" i="2"/>
  <c r="AP24" i="2" s="1"/>
  <c r="Z42" i="2"/>
  <c r="Z40" i="2" s="1"/>
  <c r="F36" i="1"/>
  <c r="AO15" i="2"/>
  <c r="G38" i="1"/>
  <c r="I37" i="1"/>
  <c r="F33" i="1"/>
  <c r="J39" i="1"/>
  <c r="K39" i="1" s="1"/>
  <c r="L39" i="1" s="1"/>
  <c r="AH16" i="2"/>
  <c r="G35" i="1"/>
  <c r="AO25" i="2"/>
  <c r="AO22" i="2"/>
  <c r="AS22" i="2"/>
  <c r="AH45" i="2"/>
  <c r="F32" i="1"/>
  <c r="G32" i="1" s="1"/>
  <c r="AH18" i="2" l="1"/>
  <c r="AH37" i="2" s="1"/>
  <c r="BG39" i="2"/>
  <c r="BG42" i="2" s="1"/>
  <c r="H40" i="1"/>
  <c r="I40" i="1" s="1"/>
  <c r="AI11" i="2"/>
  <c r="AI10" i="2" s="1"/>
  <c r="BL39" i="2"/>
  <c r="BL42" i="2" s="1"/>
  <c r="AZ39" i="2"/>
  <c r="AZ42" i="2" s="1"/>
  <c r="AZ43" i="2" s="1"/>
  <c r="BA39" i="2"/>
  <c r="BA42" i="2" s="1"/>
  <c r="Z48" i="2"/>
  <c r="BJ39" i="2"/>
  <c r="BJ42" i="2" s="1"/>
  <c r="BC39" i="2"/>
  <c r="BC42" i="2" s="1"/>
  <c r="BN29" i="2"/>
  <c r="AP25" i="2"/>
  <c r="BN38" i="2"/>
  <c r="G34" i="1"/>
  <c r="M39" i="1"/>
  <c r="AG43" i="2"/>
  <c r="AG47" i="2" s="1"/>
  <c r="AG52" i="2"/>
  <c r="G33" i="1"/>
  <c r="H33" i="1" s="1"/>
  <c r="H35" i="1"/>
  <c r="I35" i="1" s="1"/>
  <c r="AI16" i="2"/>
  <c r="AI18" i="2" s="1"/>
  <c r="H38" i="1"/>
  <c r="J40" i="1"/>
  <c r="K40" i="1" s="1"/>
  <c r="AO16" i="2"/>
  <c r="AP19" i="2"/>
  <c r="AP20" i="2"/>
  <c r="AP17" i="2"/>
  <c r="AQ13" i="2"/>
  <c r="AQ14" i="2"/>
  <c r="AP15" i="2"/>
  <c r="J37" i="1"/>
  <c r="AQ15" i="2"/>
  <c r="G36" i="1"/>
  <c r="H36" i="1" s="1"/>
  <c r="AS43" i="2"/>
  <c r="AO43" i="2"/>
  <c r="AP22" i="2"/>
  <c r="H32" i="1"/>
  <c r="AQ22" i="2"/>
  <c r="BN39" i="2" l="1"/>
  <c r="J35" i="1"/>
  <c r="K35" i="1" s="1"/>
  <c r="L35" i="1" s="1"/>
  <c r="M35" i="1" s="1"/>
  <c r="H34" i="1"/>
  <c r="AH43" i="2"/>
  <c r="AH47" i="2" s="1"/>
  <c r="AH52" i="2"/>
  <c r="I36" i="1"/>
  <c r="AR15" i="2"/>
  <c r="K37" i="1"/>
  <c r="L37" i="1" s="1"/>
  <c r="M37" i="1" s="1"/>
  <c r="L40" i="1"/>
  <c r="M40" i="1" s="1"/>
  <c r="I38" i="1"/>
  <c r="J38" i="1" s="1"/>
  <c r="AR19" i="2"/>
  <c r="AQ16" i="2"/>
  <c r="AR17" i="2"/>
  <c r="AR24" i="2"/>
  <c r="AR25" i="2"/>
  <c r="AR20" i="2"/>
  <c r="I33" i="1"/>
  <c r="AP16" i="2"/>
  <c r="AO18" i="2"/>
  <c r="AS13" i="2"/>
  <c r="AS14" i="2"/>
  <c r="AS15" i="2"/>
  <c r="AI37" i="2"/>
  <c r="I32" i="1"/>
  <c r="J32" i="1" s="1"/>
  <c r="K32" i="1" s="1"/>
  <c r="AZ44" i="2"/>
  <c r="BA41" i="2"/>
  <c r="BA43" i="2" s="1"/>
  <c r="AQ43" i="2"/>
  <c r="AR22" i="2"/>
  <c r="I34" i="1" l="1"/>
  <c r="J34" i="1" s="1"/>
  <c r="K38" i="1"/>
  <c r="L38" i="1" s="1"/>
  <c r="M38" i="1" s="1"/>
  <c r="J33" i="1"/>
  <c r="J36" i="1"/>
  <c r="AI43" i="2"/>
  <c r="AI47" i="2" s="1"/>
  <c r="AI52" i="2"/>
  <c r="AT15" i="2"/>
  <c r="AS16" i="2"/>
  <c r="AT17" i="2"/>
  <c r="AT19" i="2"/>
  <c r="AT20" i="2"/>
  <c r="AT24" i="2"/>
  <c r="AT25" i="2"/>
  <c r="AT22" i="2"/>
  <c r="AP18" i="2"/>
  <c r="AO21" i="2"/>
  <c r="AR16" i="2"/>
  <c r="AQ18" i="2"/>
  <c r="L32" i="1"/>
  <c r="M32" i="1" s="1"/>
  <c r="BB41" i="2"/>
  <c r="BB43" i="2" s="1"/>
  <c r="BA44" i="2"/>
  <c r="K34" i="1" l="1"/>
  <c r="L34" i="1" s="1"/>
  <c r="M34" i="1" s="1"/>
  <c r="K36" i="1"/>
  <c r="L36" i="1" s="1"/>
  <c r="M36" i="1" s="1"/>
  <c r="K33" i="1"/>
  <c r="L33" i="1" s="1"/>
  <c r="M33" i="1" s="1"/>
  <c r="AR18" i="2"/>
  <c r="AQ21" i="2"/>
  <c r="AP21" i="2"/>
  <c r="AO23" i="2"/>
  <c r="AT16" i="2"/>
  <c r="AS18" i="2"/>
  <c r="BC41" i="2"/>
  <c r="BC43" i="2" s="1"/>
  <c r="BC44" i="2" s="1"/>
  <c r="BB44" i="2"/>
  <c r="AO26" i="2" l="1"/>
  <c r="AP23" i="2"/>
  <c r="AT18" i="2"/>
  <c r="AS21" i="2"/>
  <c r="AR21" i="2"/>
  <c r="AQ23" i="2"/>
  <c r="BD41" i="2"/>
  <c r="BD43" i="2" s="1"/>
  <c r="BD44" i="2" s="1"/>
  <c r="AO42" i="2" l="1"/>
  <c r="AO27" i="2"/>
  <c r="AT21" i="2"/>
  <c r="AS23" i="2"/>
  <c r="AR23" i="2"/>
  <c r="AQ26" i="2"/>
  <c r="AP26" i="2"/>
  <c r="BG41" i="2"/>
  <c r="BG43" i="2" s="1"/>
  <c r="BG44" i="2" s="1"/>
  <c r="AQ27" i="2" l="1"/>
  <c r="AQ42" i="2"/>
  <c r="AR26" i="2"/>
  <c r="AS26" i="2"/>
  <c r="AT23" i="2"/>
  <c r="AO44" i="2"/>
  <c r="AP27" i="2"/>
  <c r="BH41" i="2"/>
  <c r="BH43" i="2" s="1"/>
  <c r="BH44" i="2" s="1"/>
  <c r="AS42" i="2" l="1"/>
  <c r="AS27" i="2"/>
  <c r="AO46" i="2"/>
  <c r="AT26" i="2"/>
  <c r="AQ44" i="2"/>
  <c r="AR27" i="2"/>
  <c r="BI41" i="2"/>
  <c r="BI43" i="2" s="1"/>
  <c r="BI44" i="2" s="1"/>
  <c r="AT27" i="2" l="1"/>
  <c r="AS44" i="2"/>
  <c r="AQ46" i="2"/>
  <c r="BJ41" i="2"/>
  <c r="BJ43" i="2" s="1"/>
  <c r="BJ44" i="2" s="1"/>
  <c r="AS46" i="2" l="1"/>
  <c r="BK41" i="2"/>
  <c r="BK43" i="2" s="1"/>
  <c r="BK44" i="2" s="1"/>
  <c r="BL41" i="2" l="1"/>
  <c r="BL43" i="2" s="1"/>
  <c r="BL44" i="2" s="1"/>
  <c r="BM41" i="2" l="1"/>
  <c r="BM43" i="2" s="1"/>
  <c r="BM44" i="2" s="1"/>
  <c r="BN44" i="2" l="1"/>
  <c r="D123" i="1" s="1"/>
  <c r="E123" i="1" s="1"/>
</calcChain>
</file>

<file path=xl/sharedStrings.xml><?xml version="1.0" encoding="utf-8"?>
<sst xmlns="http://schemas.openxmlformats.org/spreadsheetml/2006/main" count="310" uniqueCount="246">
  <si>
    <t>Votre projet :</t>
  </si>
  <si>
    <t>Votre statut juridique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</si>
  <si>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</si>
  <si>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</si>
  <si>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</si>
  <si>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</si>
  <si>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Matériel de bureau</t>
  </si>
  <si>
    <t>Fournitures, ordinateur, imprimante</t>
  </si>
  <si>
    <t>Stock de matières et produits</t>
  </si>
  <si>
    <t>Matières premières, produits finis ou semi-finis</t>
  </si>
  <si>
    <t>Cartes de visite, brochures, logo, site internet, éléments graphiques</t>
  </si>
  <si>
    <t>Assurances</t>
  </si>
  <si>
    <t>Téléphone, internet</t>
  </si>
  <si>
    <t>Carburant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</si>
  <si>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</si>
  <si>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</si>
  <si>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</si>
  <si>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</si>
  <si>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</si>
  <si>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</si>
  <si>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</si>
  <si>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</si>
  <si>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Frais bancaires et terminal carte bleue</t>
  </si>
  <si>
    <t>Charges financières</t>
  </si>
  <si>
    <t>Caution ou dépôt de garantie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</si>
  <si>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</si>
  <si>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</si>
  <si>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</si>
  <si>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</si>
  <si>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</si>
  <si>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</si>
  <si>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</si>
  <si>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</si>
  <si>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</si>
  <si>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</si>
  <si>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</si>
  <si>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</si>
  <si>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</si>
  <si>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</si>
  <si>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</si>
  <si>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</si>
  <si>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</si>
  <si>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</si>
  <si>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trésorerie de départ est :</t>
  </si>
  <si>
    <t>Accompagnement</t>
  </si>
  <si>
    <t>Conseil</t>
  </si>
  <si>
    <t>(saisir taux)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</si>
  <si>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</si>
  <si>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</si>
  <si>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</si>
  <si>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</si>
  <si>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</si>
  <si>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</si>
  <si>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</si>
  <si>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</si>
  <si>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</si>
  <si>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</si>
  <si>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</si>
  <si>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</si>
  <si>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Dotations aux amortissements</t>
  </si>
  <si>
    <t>Impôt sur les sociétés</t>
  </si>
  <si>
    <t>Oui</t>
  </si>
  <si>
    <t>Non</t>
  </si>
  <si>
    <t>Employés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</si>
  <si>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</si>
  <si>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</si>
  <si>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</si>
  <si>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</si>
  <si>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</si>
  <si>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</si>
  <si>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</si>
  <si>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</si>
  <si>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</si>
  <si>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</si>
  <si>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</si>
  <si>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</si>
  <si>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</si>
  <si>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</si>
  <si>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t>Chiffre à prendre en compte pour le calcul RSI EI</t>
  </si>
  <si>
    <t>Mixte</t>
  </si>
  <si>
    <t xml:space="preserve"> Marge brute</t>
  </si>
  <si>
    <t xml:space="preserve"> Charges externes</t>
  </si>
  <si>
    <t xml:space="preserve"> Valeur ajoutée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</si>
  <si>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</si>
  <si>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</si>
  <si>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</si>
  <si>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</si>
  <si>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</si>
  <si>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</si>
  <si>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</si>
  <si>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</si>
  <si>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% augmentation</t>
  </si>
  <si>
    <t>Salaires des employés</t>
  </si>
  <si>
    <t xml:space="preserve"> Charges sociales employés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</si>
  <si>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</si>
  <si>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</si>
  <si>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</si>
  <si>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</si>
  <si>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</si>
  <si>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Charges de personnel</t>
  </si>
  <si>
    <t xml:space="preserve"> Marge globale</t>
  </si>
  <si>
    <t>Dotation aux amortissements</t>
  </si>
  <si>
    <t>Résultat financier</t>
  </si>
  <si>
    <t>Capacité d'autofinancement</t>
  </si>
  <si>
    <t xml:space="preserve"> Résultat courant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</si>
  <si>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</si>
  <si>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</si>
  <si>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</si>
  <si>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</si>
  <si>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</si>
  <si>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</si>
  <si>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</si>
  <si>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</si>
  <si>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</si>
  <si>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</si>
  <si>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</si>
  <si>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</si>
  <si>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</si>
  <si>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Emprunts</t>
  </si>
  <si>
    <t>Subventions</t>
  </si>
  <si>
    <t>Autres financements</t>
  </si>
  <si>
    <t>Budget prévisionnel de trésorerie</t>
  </si>
  <si>
    <t>Mois 1</t>
  </si>
  <si>
    <t>Mois 2</t>
  </si>
  <si>
    <t>Mois 3</t>
  </si>
  <si>
    <t>Vente de services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</si>
  <si>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</si>
  <si>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</si>
  <si>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</si>
  <si>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</si>
  <si>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</si>
  <si>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</si>
  <si>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</si>
  <si>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</si>
  <si>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</si>
  <si>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</si>
  <si>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</si>
  <si>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</si>
  <si>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</si>
  <si>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Total charges de personnel</t>
  </si>
  <si>
    <t>Total des décaissements</t>
  </si>
  <si>
    <t>Solde précédent</t>
  </si>
  <si>
    <t>Total des encaissements</t>
  </si>
  <si>
    <t>Logiciels, formations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</si>
  <si>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</si>
  <si>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</si>
  <si>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</si>
  <si>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</si>
  <si>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</si>
  <si>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</si>
  <si>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</si>
  <si>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</si>
  <si>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</si>
  <si>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</si>
  <si>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</si>
  <si>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</si>
  <si>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</si>
  <si>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</si>
  <si>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</si>
  <si>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</si>
  <si>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t>1ère année</t>
  </si>
  <si>
    <r>
      <t xml:space="preserve">Une remarque sur le fonctionnement de ce fichier ? Envoyez-nous un e-mail à </t>
    </r>
    <r>
      <rPr>
        <b/>
        <sz val="12"/>
        <color theme="6" tint="-0.249977111117893"/>
        <rFont val="Calibri"/>
        <family val="2"/>
        <scheme val="minor"/>
      </rPr>
      <t>contact@wikicrea.fr</t>
    </r>
  </si>
  <si>
    <t>Libellé autre charge 1 (supprimer si inutile)</t>
  </si>
  <si>
    <t>Libellé autre charge 2 (supprimer si inutile)</t>
  </si>
  <si>
    <t>Libellé autre charge 3 (supprimer si inutile)</t>
  </si>
  <si>
    <t>Le plan financier apparaitra dans l'onglet suivant</t>
  </si>
  <si>
    <t>Association loi 1901</t>
  </si>
  <si>
    <t xml:space="preserve">    A noter que le Président ne peut pas se verser un salaire supérieur à 3/4 du SMIC.</t>
  </si>
  <si>
    <t>Plan financier Association loi 1901</t>
  </si>
  <si>
    <t>Numéro de téléphone :</t>
  </si>
  <si>
    <t>Adresse e-mail :</t>
  </si>
  <si>
    <t>Ville ou commune :</t>
  </si>
  <si>
    <t>Ce sont les frais de création de l'association (formalités)</t>
  </si>
  <si>
    <t>Frais juridiques</t>
  </si>
  <si>
    <t>Pour la signature de contrats de prêt par exemple</t>
  </si>
  <si>
    <t>Eléments de communication</t>
  </si>
  <si>
    <t>Somme d’argent gardée en prévision du démarrage de l’activité</t>
  </si>
  <si>
    <t>Fonds propres (en numéraire)</t>
  </si>
  <si>
    <t>Dons</t>
  </si>
  <si>
    <t>Taxes</t>
  </si>
  <si>
    <r>
      <t xml:space="preserve">Listez toutes vos charges courantes et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</si>
  <si>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Rémunération des responsables</t>
  </si>
  <si>
    <t>Calcul des charges sociales</t>
  </si>
  <si>
    <t>Responsables</t>
  </si>
  <si>
    <t>Recettes</t>
  </si>
  <si>
    <t>4) Vos recettes de la première année :</t>
  </si>
  <si>
    <t>Budget communication</t>
  </si>
  <si>
    <t>Autres dépenses externes</t>
  </si>
  <si>
    <t xml:space="preserve"> % d'augmentation des recettes entre année 1 et année 2 :</t>
  </si>
  <si>
    <t xml:space="preserve"> % d'augmentation des recettes entre année 2 et année 3 :</t>
  </si>
  <si>
    <t>Vente de biens produits par l'association</t>
  </si>
  <si>
    <t>Vente de services produits par l'association</t>
  </si>
  <si>
    <t>Dons manuels</t>
  </si>
  <si>
    <t>Cotisations</t>
  </si>
  <si>
    <t>Autres produits, subventions</t>
  </si>
  <si>
    <t xml:space="preserve"> Charges sociales responsables</t>
  </si>
  <si>
    <t xml:space="preserve"> (concerne uniquement l'activité de production de biens)</t>
  </si>
  <si>
    <t>Quel est votre coût de revient, exprimé en % du prix de vente ?</t>
  </si>
  <si>
    <t>Les charges variables sont liées au niveau d’activité ou à la production. Il s’agit des achats de marchandises, des achats de matières destinées à être transformées…</t>
  </si>
  <si>
    <t>Rémunération responsable(s)</t>
  </si>
  <si>
    <t>Charges sociales responsable(s)</t>
  </si>
  <si>
    <t xml:space="preserve"> Excédent brut</t>
  </si>
  <si>
    <t xml:space="preserve"> Résultat de l'année</t>
  </si>
  <si>
    <t xml:space="preserve"> Résultat annuel</t>
  </si>
  <si>
    <t>Projet associatif :</t>
  </si>
  <si>
    <t xml:space="preserve"> Résultat annuel final</t>
  </si>
  <si>
    <t>Ventes, dons, cotisations, subv.</t>
  </si>
  <si>
    <t>Financement propre</t>
  </si>
  <si>
    <t>Vente de biens</t>
  </si>
  <si>
    <t>Recettes (total)</t>
  </si>
  <si>
    <t>6) Salaires employés et responsables :</t>
  </si>
  <si>
    <t>7) Contrôle du niveau de votre trésorerie de départ :</t>
  </si>
  <si>
    <r>
      <t xml:space="preserve">8) Visualisez et imprimez votre plan financier : </t>
    </r>
    <r>
      <rPr>
        <b/>
        <u/>
        <sz val="20"/>
        <color theme="9" tint="-0.499984740745262"/>
        <rFont val="Calibri"/>
        <family val="2"/>
        <scheme val="minor"/>
      </rPr>
      <t>voir onglet suivant</t>
    </r>
  </si>
  <si>
    <t>Mois 1 :</t>
  </si>
  <si>
    <t>Mois 2 :</t>
  </si>
  <si>
    <t>Mois 3 :</t>
  </si>
  <si>
    <t>Mois 4 :</t>
  </si>
  <si>
    <t>Mois 5 :</t>
  </si>
  <si>
    <t>Mois 6 :</t>
  </si>
  <si>
    <t>Mois 7 :</t>
  </si>
  <si>
    <t>Mois 8 :</t>
  </si>
  <si>
    <t>Mois 9 :</t>
  </si>
  <si>
    <t>Mois 10 :</t>
  </si>
  <si>
    <t>Mois 11 :</t>
  </si>
  <si>
    <t>Mois 12 :</t>
  </si>
  <si>
    <r>
      <t xml:space="preserve">Rémunération </t>
    </r>
    <r>
      <rPr>
        <b/>
        <sz val="11"/>
        <color theme="1"/>
        <rFont val="Calibri"/>
        <family val="2"/>
        <scheme val="minor"/>
      </rPr>
      <t>responsables (net)</t>
    </r>
  </si>
  <si>
    <t>Frais création association</t>
  </si>
  <si>
    <r>
      <t>Prévoyez ici vos recettes en €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</si>
  <si>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Constitution des stocks</t>
  </si>
  <si>
    <t>1) Vous souhaitez obtenir le mot de passe de ce document ?</t>
  </si>
  <si>
    <t>Obtention du code pour déverrouiller et modifier ce document comme vous l'entendez.</t>
  </si>
  <si>
    <t>Cliquez ici :</t>
  </si>
  <si>
    <t>https://www.projetentreprise.fr/produit/mot-de-passe-previsionnel-financier/</t>
  </si>
  <si>
    <t>(ou recopiez le lien en cas de problème)</t>
  </si>
  <si>
    <t>WikiCréa est une start-up française.</t>
  </si>
  <si>
    <t>SIDDIL S.A.S. - 12100 Millau, France - RCS Rodez 824 603 823</t>
  </si>
  <si>
    <t>contact@wikicrea.fr</t>
  </si>
  <si>
    <t>© WikiCréa</t>
  </si>
  <si>
    <t>Pourquoi Legalstart ? Tout simplement parce qu’il s’agit de l’offre la plus complète et la moins chère du marché.</t>
  </si>
  <si>
    <t>https://www.creerentreprise.fr/creez-votre-entreprise-legalstart-wikicrea/</t>
  </si>
  <si>
    <t>2) Créez votre association directement en ligne</t>
  </si>
  <si>
    <t>WikiCréa a sélectionné Legalstart pour vos formalités de création d'association en ligne.</t>
  </si>
  <si>
    <t>Ecole Montessori</t>
  </si>
  <si>
    <t>Subvention</t>
  </si>
  <si>
    <t>Autre financement</t>
  </si>
  <si>
    <t>Prêt bancaire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</si>
</sst>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u/>
      <sz val="20"/>
      <color theme="9" tint="-0.499984740745262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u/>
      <sz val="26"/>
      <color theme="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30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43" fontId="2" fillId="0" borderId="4" xfId="0" applyNumberFormat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43" fontId="0" fillId="0" borderId="30" xfId="1" applyFont="1" applyBorder="1"/>
    <xf numFmtId="43" fontId="2" fillId="0" borderId="32" xfId="1" applyFont="1" applyBorder="1"/>
    <xf numFmtId="43" fontId="7" fillId="0" borderId="32" xfId="1" applyFont="1" applyBorder="1"/>
    <xf numFmtId="0" fontId="7" fillId="0" borderId="28" xfId="0" applyFont="1" applyBorder="1" applyAlignment="1">
      <alignment horizontal="left" indent="3"/>
    </xf>
    <xf numFmtId="43" fontId="2" fillId="3" borderId="21" xfId="1" applyFont="1" applyFill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43" fontId="2" fillId="0" borderId="29" xfId="1" applyFont="1" applyFill="1" applyBorder="1"/>
    <xf numFmtId="43" fontId="7" fillId="0" borderId="29" xfId="1" applyFont="1" applyFill="1" applyBorder="1"/>
    <xf numFmtId="43" fontId="2" fillId="0" borderId="27" xfId="1" applyFont="1" applyFill="1" applyBorder="1"/>
    <xf numFmtId="43" fontId="2" fillId="0" borderId="2" xfId="1" applyFont="1" applyFill="1" applyBorder="1"/>
    <xf numFmtId="43" fontId="2" fillId="0" borderId="36" xfId="1" applyFont="1" applyFill="1" applyBorder="1"/>
    <xf numFmtId="43" fontId="2" fillId="0" borderId="35" xfId="0" applyNumberFormat="1" applyFont="1" applyFill="1" applyBorder="1" applyAlignment="1">
      <alignment vertical="center"/>
    </xf>
    <xf numFmtId="43" fontId="2" fillId="0" borderId="24" xfId="0" applyNumberFormat="1" applyFont="1" applyFill="1" applyBorder="1" applyAlignment="1">
      <alignment vertical="center" wrapText="1"/>
    </xf>
    <xf numFmtId="43" fontId="7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43" fontId="2" fillId="3" borderId="34" xfId="1" applyFont="1" applyFill="1" applyBorder="1"/>
    <xf numFmtId="43" fontId="2" fillId="3" borderId="38" xfId="1" applyFont="1" applyFill="1" applyBorder="1"/>
    <xf numFmtId="43" fontId="7" fillId="0" borderId="28" xfId="0" applyNumberFormat="1" applyFont="1" applyBorder="1" applyAlignment="1">
      <alignment horizontal="left" indent="3"/>
    </xf>
    <xf numFmtId="43" fontId="2" fillId="0" borderId="39" xfId="1" applyFont="1" applyFill="1" applyBorder="1"/>
    <xf numFmtId="43" fontId="7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43" fontId="2" fillId="0" borderId="1" xfId="1" applyFont="1" applyFill="1" applyBorder="1"/>
    <xf numFmtId="43" fontId="2" fillId="0" borderId="3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4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43" fontId="0" fillId="0" borderId="0" xfId="0" applyNumberFormat="1"/>
    <xf numFmtId="0" fontId="7" fillId="0" borderId="0" xfId="0" applyFont="1" applyFill="1" applyBorder="1"/>
    <xf numFmtId="0" fontId="7" fillId="0" borderId="0" xfId="0" applyFont="1" applyAlignment="1">
      <alignment horizontal="left" indent="1"/>
    </xf>
    <xf numFmtId="0" fontId="23" fillId="0" borderId="19" xfId="0" applyFont="1" applyBorder="1" applyAlignment="1">
      <alignment vertical="top"/>
    </xf>
    <xf numFmtId="0" fontId="24" fillId="0" borderId="0" xfId="2" applyNumberFormat="1" applyFont="1" applyBorder="1"/>
    <xf numFmtId="43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43" fontId="7" fillId="0" borderId="0" xfId="1" applyFont="1" applyFill="1" applyBorder="1"/>
    <xf numFmtId="0" fontId="0" fillId="0" borderId="0" xfId="0" applyFill="1" applyBorder="1" applyAlignment="1">
      <alignment horizontal="left" indent="3"/>
    </xf>
    <xf numFmtId="9" fontId="7" fillId="0" borderId="2" xfId="2" applyFont="1" applyFill="1" applyBorder="1" applyAlignment="1">
      <alignment horizontal="center"/>
    </xf>
    <xf numFmtId="9" fontId="7" fillId="0" borderId="29" xfId="1" applyNumberFormat="1" applyFont="1" applyFill="1" applyBorder="1" applyAlignment="1">
      <alignment horizontal="center"/>
    </xf>
    <xf numFmtId="43" fontId="1" fillId="0" borderId="2" xfId="1" applyFont="1" applyFill="1" applyBorder="1"/>
    <xf numFmtId="0" fontId="7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7" fillId="0" borderId="2" xfId="0" applyNumberFormat="1" applyFont="1" applyBorder="1"/>
    <xf numFmtId="0" fontId="0" fillId="0" borderId="0" xfId="0" applyAlignment="1">
      <alignment horizontal="center"/>
    </xf>
    <xf numFmtId="43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43" fontId="1" fillId="0" borderId="35" xfId="1" applyFont="1" applyFill="1" applyBorder="1"/>
    <xf numFmtId="43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0" xfId="1" applyFont="1" applyFill="1" applyBorder="1"/>
    <xf numFmtId="43" fontId="2" fillId="3" borderId="37" xfId="1" applyFont="1" applyFill="1" applyBorder="1"/>
    <xf numFmtId="43" fontId="2" fillId="0" borderId="26" xfId="1" applyFont="1" applyFill="1" applyBorder="1"/>
    <xf numFmtId="0" fontId="2" fillId="3" borderId="29" xfId="0" applyFont="1" applyFill="1" applyBorder="1" applyAlignment="1">
      <alignment horizontal="center" vertical="center"/>
    </xf>
    <xf numFmtId="43" fontId="2" fillId="3" borderId="44" xfId="1" applyFont="1" applyFill="1" applyBorder="1"/>
    <xf numFmtId="43" fontId="1" fillId="0" borderId="3" xfId="1" applyFont="1" applyFill="1" applyBorder="1"/>
    <xf numFmtId="43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42" xfId="1" applyFont="1" applyFill="1" applyBorder="1"/>
    <xf numFmtId="43" fontId="1" fillId="0" borderId="1" xfId="1" applyFont="1" applyFill="1" applyBorder="1"/>
    <xf numFmtId="43" fontId="2" fillId="0" borderId="47" xfId="1" applyFont="1" applyFill="1" applyBorder="1"/>
    <xf numFmtId="9" fontId="23" fillId="0" borderId="35" xfId="1" applyNumberFormat="1" applyFont="1" applyFill="1" applyBorder="1"/>
    <xf numFmtId="9" fontId="23" fillId="0" borderId="23" xfId="1" applyNumberFormat="1" applyFont="1" applyFill="1" applyBorder="1"/>
    <xf numFmtId="9" fontId="23" fillId="0" borderId="24" xfId="1" applyNumberFormat="1" applyFont="1" applyFill="1" applyBorder="1"/>
    <xf numFmtId="9" fontId="23" fillId="0" borderId="2" xfId="1" applyNumberFormat="1" applyFont="1" applyFill="1" applyBorder="1"/>
    <xf numFmtId="9" fontId="23" fillId="0" borderId="0" xfId="1" applyNumberFormat="1" applyFont="1" applyFill="1" applyBorder="1"/>
    <xf numFmtId="9" fontId="23" fillId="0" borderId="29" xfId="1" applyNumberFormat="1" applyFont="1" applyFill="1" applyBorder="1"/>
    <xf numFmtId="9" fontId="23" fillId="0" borderId="2" xfId="2" applyFont="1" applyFill="1" applyBorder="1"/>
    <xf numFmtId="9" fontId="23" fillId="0" borderId="29" xfId="2" applyFont="1" applyFill="1" applyBorder="1"/>
    <xf numFmtId="9" fontId="25" fillId="3" borderId="34" xfId="2" applyFont="1" applyFill="1" applyBorder="1"/>
    <xf numFmtId="9" fontId="25" fillId="3" borderId="37" xfId="2" applyFont="1" applyFill="1" applyBorder="1"/>
    <xf numFmtId="9" fontId="23" fillId="0" borderId="0" xfId="2" applyFont="1" applyFill="1" applyBorder="1"/>
    <xf numFmtId="9" fontId="25" fillId="3" borderId="38" xfId="2" applyFont="1" applyFill="1" applyBorder="1"/>
    <xf numFmtId="9" fontId="23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0" fontId="0" fillId="0" borderId="25" xfId="0" applyFont="1" applyFill="1" applyBorder="1" applyAlignment="1">
      <alignment horizontal="left" vertical="center" indent="1"/>
    </xf>
    <xf numFmtId="43" fontId="1" fillId="0" borderId="39" xfId="1" applyFont="1" applyFill="1" applyBorder="1"/>
    <xf numFmtId="0" fontId="0" fillId="4" borderId="0" xfId="0" applyFill="1"/>
    <xf numFmtId="0" fontId="26" fillId="0" borderId="0" xfId="0" applyFont="1" applyAlignment="1">
      <alignment horizontal="center"/>
    </xf>
    <xf numFmtId="43" fontId="0" fillId="0" borderId="35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2" fillId="0" borderId="0" xfId="0" applyFont="1" applyAlignment="1">
      <alignment horizontal="right"/>
    </xf>
    <xf numFmtId="43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43" fontId="0" fillId="0" borderId="0" xfId="0" applyNumberFormat="1" applyFont="1"/>
    <xf numFmtId="43" fontId="0" fillId="0" borderId="50" xfId="0" applyNumberFormat="1" applyFont="1" applyFill="1" applyBorder="1" applyAlignment="1">
      <alignment vertical="center"/>
    </xf>
    <xf numFmtId="43" fontId="1" fillId="0" borderId="52" xfId="1" applyFont="1" applyFill="1" applyBorder="1"/>
    <xf numFmtId="43" fontId="2" fillId="3" borderId="49" xfId="1" applyFont="1" applyFill="1" applyBorder="1"/>
    <xf numFmtId="43" fontId="0" fillId="0" borderId="43" xfId="0" applyNumberFormat="1" applyFont="1" applyFill="1" applyBorder="1" applyAlignment="1">
      <alignment vertical="center"/>
    </xf>
    <xf numFmtId="43" fontId="2" fillId="3" borderId="57" xfId="1" applyFont="1" applyFill="1" applyBorder="1"/>
    <xf numFmtId="43" fontId="2" fillId="0" borderId="56" xfId="1" applyFont="1" applyFill="1" applyBorder="1"/>
    <xf numFmtId="2" fontId="2" fillId="0" borderId="0" xfId="0" applyNumberFormat="1" applyFont="1"/>
    <xf numFmtId="0" fontId="24" fillId="0" borderId="0" xfId="0" applyFont="1"/>
    <xf numFmtId="0" fontId="0" fillId="0" borderId="0" xfId="0" applyFont="1" applyFill="1" applyBorder="1"/>
    <xf numFmtId="43" fontId="1" fillId="0" borderId="24" xfId="1" applyFont="1" applyFill="1" applyBorder="1"/>
    <xf numFmtId="43" fontId="1" fillId="0" borderId="50" xfId="1" applyFont="1" applyFill="1" applyBorder="1"/>
    <xf numFmtId="43" fontId="1" fillId="0" borderId="43" xfId="1" applyFont="1" applyFill="1" applyBorder="1"/>
    <xf numFmtId="43" fontId="30" fillId="0" borderId="56" xfId="1" applyFont="1" applyFill="1" applyBorder="1"/>
    <xf numFmtId="43" fontId="2" fillId="0" borderId="55" xfId="1" applyFont="1" applyFill="1" applyBorder="1"/>
    <xf numFmtId="0" fontId="31" fillId="0" borderId="0" xfId="0" applyFont="1"/>
    <xf numFmtId="43" fontId="2" fillId="0" borderId="52" xfId="1" applyFont="1" applyFill="1" applyBorder="1"/>
    <xf numFmtId="43" fontId="28" fillId="0" borderId="2" xfId="1" applyFont="1" applyFill="1" applyBorder="1"/>
    <xf numFmtId="43" fontId="28" fillId="0" borderId="39" xfId="1" applyFont="1" applyFill="1" applyBorder="1"/>
    <xf numFmtId="0" fontId="28" fillId="0" borderId="0" xfId="0" applyFont="1"/>
    <xf numFmtId="43" fontId="28" fillId="0" borderId="52" xfId="1" applyFont="1" applyFill="1" applyBorder="1"/>
    <xf numFmtId="43" fontId="28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left" indent="1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 indent="1"/>
    </xf>
    <xf numFmtId="43" fontId="27" fillId="0" borderId="56" xfId="1" applyFont="1" applyFill="1" applyBorder="1"/>
    <xf numFmtId="0" fontId="32" fillId="0" borderId="20" xfId="0" applyFont="1" applyBorder="1" applyAlignment="1">
      <alignment horizontal="right"/>
    </xf>
    <xf numFmtId="43" fontId="2" fillId="0" borderId="24" xfId="0" applyNumberFormat="1" applyFont="1" applyFill="1" applyBorder="1" applyAlignment="1">
      <alignment vertical="center"/>
    </xf>
    <xf numFmtId="0" fontId="1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0" fontId="34" fillId="0" borderId="0" xfId="0" applyFont="1"/>
    <xf numFmtId="43" fontId="2" fillId="0" borderId="0" xfId="0" applyNumberFormat="1" applyFont="1"/>
    <xf numFmtId="2" fontId="27" fillId="0" borderId="0" xfId="0" applyNumberFormat="1" applyFont="1"/>
    <xf numFmtId="43" fontId="2" fillId="0" borderId="55" xfId="0" applyNumberFormat="1" applyFont="1" applyFill="1" applyBorder="1" applyAlignment="1">
      <alignment vertical="center"/>
    </xf>
    <xf numFmtId="10" fontId="24" fillId="0" borderId="0" xfId="0" applyNumberFormat="1" applyFont="1" applyBorder="1"/>
    <xf numFmtId="0" fontId="36" fillId="0" borderId="0" xfId="3" applyFont="1" applyFill="1" applyBorder="1" applyAlignment="1">
      <alignment vertical="center" wrapText="1"/>
    </xf>
    <xf numFmtId="0" fontId="37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7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39" fillId="0" borderId="0" xfId="0" applyFont="1"/>
    <xf numFmtId="0" fontId="41" fillId="0" borderId="0" xfId="0" applyFont="1" applyAlignment="1">
      <alignment horizontal="left" indent="2"/>
    </xf>
    <xf numFmtId="0" fontId="42" fillId="0" borderId="0" xfId="0" applyFont="1"/>
    <xf numFmtId="0" fontId="3" fillId="0" borderId="0" xfId="0" applyFont="1" applyBorder="1" applyAlignment="1">
      <alignment horizontal="left" indent="5"/>
    </xf>
    <xf numFmtId="0" fontId="4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indent="1"/>
    </xf>
    <xf numFmtId="43" fontId="42" fillId="0" borderId="0" xfId="1" applyFont="1" applyFill="1" applyBorder="1"/>
    <xf numFmtId="0" fontId="0" fillId="0" borderId="29" xfId="0" applyBorder="1"/>
    <xf numFmtId="0" fontId="0" fillId="0" borderId="32" xfId="0" applyBorder="1"/>
    <xf numFmtId="0" fontId="16" fillId="0" borderId="11" xfId="0" applyFont="1" applyBorder="1" applyAlignment="1">
      <alignment vertical="center"/>
    </xf>
    <xf numFmtId="43" fontId="13" fillId="0" borderId="1" xfId="1" applyFont="1" applyFill="1" applyBorder="1"/>
    <xf numFmtId="0" fontId="3" fillId="0" borderId="0" xfId="0" applyFont="1" applyAlignment="1">
      <alignment horizontal="center" vertical="center" wrapText="1"/>
    </xf>
    <xf numFmtId="43" fontId="0" fillId="0" borderId="0" xfId="1" applyFont="1" applyFill="1" applyProtection="1">
      <protection locked="0"/>
    </xf>
    <xf numFmtId="17" fontId="0" fillId="0" borderId="0" xfId="0" applyNumberFormat="1" applyAlignment="1">
      <alignment horizontal="left"/>
    </xf>
    <xf numFmtId="0" fontId="2" fillId="0" borderId="0" xfId="0" applyFont="1" applyFill="1" applyAlignment="1">
      <alignment horizontal="right" vertical="center" wrapText="1"/>
    </xf>
    <xf numFmtId="43" fontId="0" fillId="0" borderId="0" xfId="1" applyFont="1" applyFill="1"/>
    <xf numFmtId="9" fontId="0" fillId="2" borderId="21" xfId="2" applyFont="1" applyFill="1" applyBorder="1" applyAlignment="1" applyProtection="1">
      <alignment horizontal="left" indent="9"/>
      <protection locked="0"/>
    </xf>
    <xf numFmtId="43" fontId="0" fillId="2" borderId="30" xfId="1" applyFont="1" applyFill="1" applyBorder="1" applyProtection="1">
      <protection locked="0"/>
    </xf>
    <xf numFmtId="43" fontId="0" fillId="2" borderId="59" xfId="1" applyFont="1" applyFill="1" applyBorder="1" applyProtection="1">
      <protection locked="0"/>
    </xf>
    <xf numFmtId="43" fontId="0" fillId="2" borderId="32" xfId="1" applyFont="1" applyFill="1" applyBorder="1" applyProtection="1">
      <protection locked="0"/>
    </xf>
    <xf numFmtId="43" fontId="2" fillId="0" borderId="21" xfId="1" applyFont="1" applyBorder="1"/>
    <xf numFmtId="0" fontId="2" fillId="0" borderId="28" xfId="0" applyFont="1" applyFill="1" applyBorder="1" applyAlignment="1">
      <alignment horizontal="left"/>
    </xf>
    <xf numFmtId="43" fontId="2" fillId="0" borderId="37" xfId="1" applyFont="1" applyFill="1" applyBorder="1"/>
    <xf numFmtId="43" fontId="0" fillId="0" borderId="37" xfId="1" applyFont="1" applyFill="1" applyBorder="1"/>
    <xf numFmtId="43" fontId="2" fillId="0" borderId="21" xfId="0" applyNumberFormat="1" applyFont="1" applyFill="1" applyBorder="1"/>
    <xf numFmtId="0" fontId="30" fillId="0" borderId="0" xfId="0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Fill="1" applyBorder="1"/>
    <xf numFmtId="0" fontId="3" fillId="0" borderId="0" xfId="0" applyFont="1" applyBorder="1" applyAlignment="1">
      <alignment horizontal="left" indent="7"/>
    </xf>
    <xf numFmtId="0" fontId="21" fillId="0" borderId="0" xfId="0" applyFont="1"/>
    <xf numFmtId="17" fontId="2" fillId="0" borderId="21" xfId="0" applyNumberFormat="1" applyFont="1" applyBorder="1" applyAlignment="1">
      <alignment horizontal="left" indent="3"/>
    </xf>
    <xf numFmtId="0" fontId="2" fillId="0" borderId="21" xfId="0" applyFont="1" applyBorder="1"/>
    <xf numFmtId="0" fontId="0" fillId="0" borderId="21" xfId="0" applyBorder="1"/>
    <xf numFmtId="0" fontId="7" fillId="0" borderId="0" xfId="0" applyFont="1" applyAlignment="1">
      <alignment horizontal="left" indent="6"/>
    </xf>
    <xf numFmtId="0" fontId="44" fillId="0" borderId="0" xfId="0" applyFont="1"/>
    <xf numFmtId="43" fontId="13" fillId="0" borderId="36" xfId="1" applyFont="1" applyFill="1" applyBorder="1"/>
    <xf numFmtId="43" fontId="13" fillId="0" borderId="27" xfId="1" applyFont="1" applyFill="1" applyBorder="1"/>
    <xf numFmtId="43" fontId="13" fillId="0" borderId="51" xfId="1" applyFont="1" applyFill="1" applyBorder="1"/>
    <xf numFmtId="43" fontId="13" fillId="0" borderId="45" xfId="1" applyFont="1" applyFill="1" applyBorder="1"/>
    <xf numFmtId="43" fontId="13" fillId="0" borderId="58" xfId="1" applyFont="1" applyFill="1" applyBorder="1"/>
    <xf numFmtId="17" fontId="2" fillId="0" borderId="30" xfId="0" applyNumberFormat="1" applyFont="1" applyBorder="1" applyAlignment="1">
      <alignment horizontal="left" indent="3"/>
    </xf>
    <xf numFmtId="17" fontId="2" fillId="0" borderId="59" xfId="0" applyNumberFormat="1" applyFont="1" applyBorder="1" applyAlignment="1">
      <alignment horizontal="left" indent="3"/>
    </xf>
    <xf numFmtId="17" fontId="2" fillId="0" borderId="31" xfId="0" applyNumberFormat="1" applyFont="1" applyBorder="1" applyAlignment="1">
      <alignment horizontal="left" indent="3"/>
    </xf>
    <xf numFmtId="0" fontId="45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17"/>
    </xf>
    <xf numFmtId="0" fontId="38" fillId="0" borderId="0" xfId="3" applyFont="1" applyFill="1" applyBorder="1" applyAlignment="1">
      <alignment vertical="center" wrapText="1"/>
    </xf>
    <xf numFmtId="0" fontId="4" fillId="0" borderId="0" xfId="0" applyFont="1"/>
    <xf numFmtId="0" fontId="9" fillId="0" borderId="0" xfId="0" applyFont="1"/>
    <xf numFmtId="0" fontId="46" fillId="0" borderId="0" xfId="0" applyFont="1"/>
    <xf numFmtId="0" fontId="23" fillId="0" borderId="0" xfId="0" applyFont="1"/>
    <xf numFmtId="0" fontId="47" fillId="0" borderId="0" xfId="3" applyFont="1"/>
    <xf numFmtId="0" fontId="48" fillId="0" borderId="0" xfId="0" applyFont="1"/>
    <xf numFmtId="0" fontId="38" fillId="0" borderId="0" xfId="3" applyFont="1" applyFill="1" applyBorder="1" applyAlignment="1">
      <alignment vertical="center"/>
    </xf>
    <xf numFmtId="0" fontId="49" fillId="0" borderId="0" xfId="0" applyFont="1"/>
    <xf numFmtId="0" fontId="8" fillId="0" borderId="0" xfId="0" applyFont="1" applyBorder="1" applyAlignment="1">
      <alignment horizontal="left" wrapText="1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18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0" fontId="0" fillId="0" borderId="0" xfId="0" applyFill="1" applyAlignment="1" applyProtection="1">
      <alignment horizontal="left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0" fillId="0" borderId="0" xfId="3" applyFont="1" applyAlignment="1">
      <alignment horizontal="left"/>
    </xf>
    <xf numFmtId="0" fontId="18" fillId="0" borderId="0" xfId="3" applyAlignment="1">
      <alignment horizontal="left"/>
    </xf>
    <xf numFmtId="0" fontId="2" fillId="0" borderId="0" xfId="0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19050</xdr:rowOff>
    </xdr:from>
    <xdr:to>
      <xdr:col>6</xdr:col>
      <xdr:colOff>695325</xdr:colOff>
      <xdr:row>2</xdr:row>
      <xdr:rowOff>57151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706" b="21178"/>
        <a:stretch/>
      </xdr:blipFill>
      <xdr:spPr>
        <a:xfrm>
          <a:off x="7267575" y="19050"/>
          <a:ext cx="2790825" cy="600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342900</xdr:rowOff>
    </xdr:from>
    <xdr:to>
      <xdr:col>5</xdr:col>
      <xdr:colOff>375413</xdr:colOff>
      <xdr:row>7</xdr:row>
      <xdr:rowOff>161925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0"/>
          <a:ext cx="3613913" cy="131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4856" cy="78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creez-votre-entreprise-legalstart-wikicrea/" TargetMode="External"/><Relationship Id="rId2" Type="http://schemas.openxmlformats.org/officeDocument/2006/relationships/hyperlink" Target="mailto:contact@wikicrea.fr" TargetMode="External"/><Relationship Id="rId1" Type="http://schemas.openxmlformats.org/officeDocument/2006/relationships/hyperlink" Target="https://www.projetentreprise.fr/produit/mot-de-passe-previsionnel-financier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2" width="19.85546875" customWidth="1"/>
    <col min="3" max="7" width="20.140625" customWidth="1"/>
    <col min="8" max="9" width="17.140625" customWidth="1"/>
    <col min="10" max="10" width="28.28515625" hidden="1" customWidth="1"/>
    <col min="11" max="14" width="0" hidden="1" customWidth="1"/>
    <col min="15" max="16384" width="11.42578125" hidden="1"/>
  </cols>
  <sheetData>
    <row r="1" spans="1:14" ht="23.25" x14ac:dyDescent="0.35">
      <c r="A1" s="3" t="s">
        <v>2</v>
      </c>
    </row>
    <row r="2" spans="1:14" ht="21" x14ac:dyDescent="0.35">
      <c r="A2" s="251" t="s">
        <v>165</v>
      </c>
    </row>
    <row r="3" spans="1:14" ht="15" customHeight="1" x14ac:dyDescent="0.25">
      <c r="F3" s="198" t="s">
        <v>168</v>
      </c>
      <c r="G3" s="213"/>
      <c r="H3" s="213"/>
      <c r="K3" t="s">
        <v>61</v>
      </c>
      <c r="L3" t="s">
        <v>76</v>
      </c>
      <c r="N3" t="s">
        <v>77</v>
      </c>
    </row>
    <row r="4" spans="1:14" ht="18.75" customHeight="1" x14ac:dyDescent="0.3">
      <c r="A4" s="222" t="s">
        <v>42</v>
      </c>
      <c r="G4" s="213"/>
      <c r="H4" s="213"/>
      <c r="K4" t="s">
        <v>62</v>
      </c>
      <c r="L4" t="s">
        <v>64</v>
      </c>
      <c r="N4" t="s">
        <v>60</v>
      </c>
    </row>
    <row r="5" spans="1:14" ht="15" customHeight="1" x14ac:dyDescent="0.25">
      <c r="F5" s="198"/>
      <c r="G5" s="213"/>
      <c r="H5" s="213"/>
      <c r="L5" t="s">
        <v>79</v>
      </c>
    </row>
    <row r="6" spans="1:14" ht="15" customHeight="1" x14ac:dyDescent="0.25">
      <c r="A6" s="1" t="s">
        <v>0</v>
      </c>
      <c r="B6" s="277" t="s">
        <v>242</v>
      </c>
      <c r="C6" s="277"/>
      <c r="D6" s="92" t="s">
        <v>3</v>
      </c>
      <c r="G6" s="213"/>
      <c r="H6" s="213"/>
    </row>
    <row r="7" spans="1:14" ht="15" hidden="1" customHeight="1" x14ac:dyDescent="0.25">
      <c r="A7" s="1" t="s">
        <v>1</v>
      </c>
      <c r="B7" s="281" t="s">
        <v>166</v>
      </c>
      <c r="C7" s="281"/>
      <c r="D7" s="92"/>
      <c r="G7" s="213"/>
      <c r="H7" s="213"/>
    </row>
    <row r="8" spans="1:14" ht="15" customHeight="1" x14ac:dyDescent="0.25">
      <c r="A8" s="1" t="s">
        <v>169</v>
      </c>
      <c r="B8" s="278"/>
      <c r="C8" s="278"/>
      <c r="G8" s="213"/>
      <c r="H8" s="213"/>
    </row>
    <row r="9" spans="1:14" ht="15" customHeight="1" x14ac:dyDescent="0.25">
      <c r="A9" s="1" t="s">
        <v>170</v>
      </c>
      <c r="B9" s="279"/>
      <c r="C9" s="279"/>
      <c r="G9" s="213"/>
      <c r="H9" s="213"/>
    </row>
    <row r="10" spans="1:14" ht="15" customHeight="1" x14ac:dyDescent="0.25">
      <c r="A10" s="1" t="s">
        <v>171</v>
      </c>
      <c r="B10" s="277"/>
      <c r="C10" s="277"/>
      <c r="G10" s="213"/>
      <c r="H10" s="213"/>
    </row>
    <row r="11" spans="1:14" ht="27.75" customHeight="1" x14ac:dyDescent="0.3">
      <c r="A11" s="13" t="s">
        <v>38</v>
      </c>
    </row>
    <row r="12" spans="1:14" x14ac:dyDescent="0.25">
      <c r="A12" s="5" t="s">
        <v>151</v>
      </c>
    </row>
    <row r="13" spans="1:14" x14ac:dyDescent="0.25">
      <c r="B13" s="198" t="s">
        <v>155</v>
      </c>
    </row>
    <row r="14" spans="1:14" ht="15" customHeight="1" x14ac:dyDescent="0.25">
      <c r="A14" s="187" t="s">
        <v>226</v>
      </c>
      <c r="B14" s="189"/>
      <c r="C14" s="6" t="s">
        <v>172</v>
      </c>
      <c r="G14" s="213"/>
      <c r="H14" s="213"/>
    </row>
    <row r="15" spans="1:14" ht="15" customHeight="1" x14ac:dyDescent="0.25">
      <c r="A15" s="187" t="s">
        <v>4</v>
      </c>
      <c r="B15" s="189">
        <v>400</v>
      </c>
      <c r="C15" s="6" t="s">
        <v>150</v>
      </c>
      <c r="G15" s="213"/>
      <c r="H15" s="213"/>
    </row>
    <row r="16" spans="1:14" ht="15" customHeight="1" x14ac:dyDescent="0.25">
      <c r="A16" s="187" t="s">
        <v>143</v>
      </c>
      <c r="B16" s="189">
        <v>2000</v>
      </c>
      <c r="C16" s="6"/>
      <c r="G16" s="213"/>
      <c r="H16" s="213"/>
    </row>
    <row r="17" spans="1:13" ht="15" customHeight="1" x14ac:dyDescent="0.25">
      <c r="A17" s="187" t="s">
        <v>173</v>
      </c>
      <c r="B17" s="189"/>
      <c r="C17" s="6"/>
      <c r="G17" s="213"/>
      <c r="H17" s="213"/>
    </row>
    <row r="18" spans="1:13" ht="15" customHeight="1" x14ac:dyDescent="0.25">
      <c r="A18" s="187" t="s">
        <v>24</v>
      </c>
      <c r="B18" s="189">
        <v>800</v>
      </c>
      <c r="C18" s="6"/>
      <c r="G18" s="213"/>
      <c r="H18" s="213"/>
    </row>
    <row r="19" spans="1:13" ht="15" customHeight="1" x14ac:dyDescent="0.25">
      <c r="A19" s="187" t="s">
        <v>34</v>
      </c>
      <c r="B19" s="189">
        <v>400</v>
      </c>
      <c r="C19" s="6" t="s">
        <v>174</v>
      </c>
      <c r="G19" s="213"/>
      <c r="H19" s="213"/>
    </row>
    <row r="20" spans="1:13" x14ac:dyDescent="0.25">
      <c r="A20" s="187" t="s">
        <v>175</v>
      </c>
      <c r="B20" s="189">
        <v>1500</v>
      </c>
      <c r="C20" s="6" t="s">
        <v>10</v>
      </c>
    </row>
    <row r="21" spans="1:13" x14ac:dyDescent="0.25">
      <c r="A21" s="187" t="s">
        <v>49</v>
      </c>
      <c r="B21" s="189"/>
      <c r="C21" s="6" t="s">
        <v>144</v>
      </c>
    </row>
    <row r="22" spans="1:13" x14ac:dyDescent="0.25">
      <c r="A22" s="187" t="s">
        <v>25</v>
      </c>
      <c r="B22" s="189">
        <v>20000</v>
      </c>
      <c r="C22" s="6"/>
    </row>
    <row r="23" spans="1:13" x14ac:dyDescent="0.25">
      <c r="A23" s="187" t="s">
        <v>26</v>
      </c>
      <c r="B23" s="189">
        <v>35000</v>
      </c>
      <c r="C23" s="6"/>
    </row>
    <row r="24" spans="1:13" x14ac:dyDescent="0.25">
      <c r="A24" s="187" t="s">
        <v>6</v>
      </c>
      <c r="B24" s="189">
        <v>4000</v>
      </c>
      <c r="C24" s="6" t="s">
        <v>7</v>
      </c>
    </row>
    <row r="25" spans="1:13" x14ac:dyDescent="0.25">
      <c r="A25" s="187" t="s">
        <v>8</v>
      </c>
      <c r="B25" s="189">
        <v>1000</v>
      </c>
      <c r="C25" s="6" t="s">
        <v>9</v>
      </c>
    </row>
    <row r="26" spans="1:13" ht="15.75" thickBot="1" x14ac:dyDescent="0.3">
      <c r="A26" s="187" t="s">
        <v>27</v>
      </c>
      <c r="B26" s="189">
        <v>5000</v>
      </c>
      <c r="C26" s="203" t="s">
        <v>176</v>
      </c>
    </row>
    <row r="27" spans="1:13" ht="15.75" thickBot="1" x14ac:dyDescent="0.3">
      <c r="A27" s="9" t="s">
        <v>33</v>
      </c>
      <c r="B27" s="11">
        <f>SUM(B14:B26)</f>
        <v>70100</v>
      </c>
      <c r="C27" s="8"/>
    </row>
    <row r="28" spans="1:13" x14ac:dyDescent="0.25">
      <c r="C28" s="8"/>
    </row>
    <row r="29" spans="1:13" ht="15.75" x14ac:dyDescent="0.25">
      <c r="A29" s="2" t="s">
        <v>149</v>
      </c>
      <c r="C29" s="190">
        <v>5</v>
      </c>
      <c r="D29" s="4" t="s">
        <v>157</v>
      </c>
    </row>
    <row r="30" spans="1:13" x14ac:dyDescent="0.25">
      <c r="C30" s="8"/>
    </row>
    <row r="31" spans="1:13" hidden="1" x14ac:dyDescent="0.25">
      <c r="B31" s="78" t="s">
        <v>72</v>
      </c>
      <c r="C31" s="75" t="s">
        <v>28</v>
      </c>
      <c r="D31" s="75" t="s">
        <v>29</v>
      </c>
      <c r="E31" s="76" t="s">
        <v>30</v>
      </c>
      <c r="F31" s="75" t="s">
        <v>65</v>
      </c>
      <c r="G31" s="75" t="s">
        <v>66</v>
      </c>
      <c r="H31" s="75" t="s">
        <v>67</v>
      </c>
      <c r="I31" s="75" t="s">
        <v>68</v>
      </c>
      <c r="J31" s="75" t="s">
        <v>69</v>
      </c>
      <c r="K31" s="75" t="s">
        <v>70</v>
      </c>
      <c r="L31" s="75" t="s">
        <v>71</v>
      </c>
      <c r="M31" s="75" t="s">
        <v>33</v>
      </c>
    </row>
    <row r="32" spans="1:13" hidden="1" x14ac:dyDescent="0.25">
      <c r="B32" s="113">
        <f>SUM(B14,B16,B19:B24)</f>
        <v>62900</v>
      </c>
      <c r="C32" s="114">
        <f t="shared" ref="C32:C40" si="0">IF(ISERROR($B32/$C$29),0,$B32/$C$29)</f>
        <v>12580</v>
      </c>
      <c r="D32" s="114">
        <f>IF($B32&gt;(SUM(C32:$C32)),IF(ISERROR($B32/$C$29),"",$B32/$C$29),0)</f>
        <v>12580</v>
      </c>
      <c r="E32" s="114">
        <f>IF($B32&gt;(SUM($C32:D32)),IF(ISERROR($B32/$C$29),"",$B32/$C$29),0)</f>
        <v>12580</v>
      </c>
      <c r="F32" s="114">
        <f>IF($B32&gt;(SUM($C32:E32)),IF(ISERROR($B32/$C$29),"",$B32/$C$29),0)</f>
        <v>12580</v>
      </c>
      <c r="G32" s="114">
        <f>IF($B32&gt;(SUM($C32:F32)),IF(ISERROR($B32/$C$29),"",$B32/$C$29),0)</f>
        <v>12580</v>
      </c>
      <c r="H32" s="114">
        <f>IF($B32&gt;(SUM($C32:G32)),IF(ISERROR($B32/$C$29),"",$B32/$C$29),0)</f>
        <v>0</v>
      </c>
      <c r="I32" s="114">
        <f>IF($B32&gt;(SUM($C32:H32)),IF(ISERROR($B32/$C$29),"",$B32/$C$29),0)</f>
        <v>0</v>
      </c>
      <c r="J32" s="114">
        <f>IF($B32&gt;(SUM($C32:I32)),IF(ISERROR($B32/$C$29),"",$B32/$C$29),0)</f>
        <v>0</v>
      </c>
      <c r="K32" s="114">
        <f>IF($B32&gt;(SUM($C32:J32)),IF(ISERROR($B32/$C$29),"",$B32/$C$29),0)</f>
        <v>0</v>
      </c>
      <c r="L32" s="114">
        <f>IF($B32&gt;(SUM($C32:K32)),IF(ISERROR($B32/$C$29),"",$B32/$C$29),0)</f>
        <v>0</v>
      </c>
      <c r="M32" s="115">
        <f>SUM(C32:L32)</f>
        <v>62900</v>
      </c>
    </row>
    <row r="33" spans="1:13" hidden="1" x14ac:dyDescent="0.25">
      <c r="A33" t="str">
        <f>A14</f>
        <v>Frais création association</v>
      </c>
      <c r="B33" s="112">
        <f>B14</f>
        <v>0</v>
      </c>
      <c r="C33" s="75">
        <f t="shared" si="0"/>
        <v>0</v>
      </c>
      <c r="D33" s="75">
        <f>IF($B33&gt;(SUM(C33:$C33)),IF(ISERROR($B33/$C$29),"",$B33/$C$29),0)</f>
        <v>0</v>
      </c>
      <c r="E33" s="75">
        <f>IF($B33&gt;(SUM($C33:D33)),IF(ISERROR($B33/$C$29),"",$B33/$C$29),0)</f>
        <v>0</v>
      </c>
      <c r="F33" s="75">
        <f>IF($B33&gt;(SUM($C33:E33)),IF(ISERROR($B33/$C$29),"",$B33/$C$29),0)</f>
        <v>0</v>
      </c>
      <c r="G33" s="75">
        <f>IF($B33&gt;(SUM($C33:F33)),IF(ISERROR($B33/$C$29),"",$B33/$C$29),0)</f>
        <v>0</v>
      </c>
      <c r="H33" s="75">
        <f>IF($B33&gt;(SUM($C33:G33)),IF(ISERROR($B33/$C$29),"",$B33/$C$29),0)</f>
        <v>0</v>
      </c>
      <c r="I33" s="75">
        <f>IF($B33&gt;(SUM($C33:H33)),IF(ISERROR($B33/$C$29),"",$B33/$C$29),0)</f>
        <v>0</v>
      </c>
      <c r="J33" s="75">
        <f>IF($B33&gt;(SUM($C33:I33)),IF(ISERROR($B33/$C$29),"",$B33/$C$29),0)</f>
        <v>0</v>
      </c>
      <c r="K33" s="75">
        <f>IF($B33&gt;(SUM($C33:J33)),IF(ISERROR($B33/$C$29),"",$B33/$C$29),0)</f>
        <v>0</v>
      </c>
      <c r="L33" s="75">
        <f>IF($B33&gt;(SUM($C33:K33)),IF(ISERROR($B33/$C$29),"",$B33/$C$29),0)</f>
        <v>0</v>
      </c>
      <c r="M33" s="75">
        <f t="shared" ref="M33:M40" si="1">SUM(C33:L33)</f>
        <v>0</v>
      </c>
    </row>
    <row r="34" spans="1:13" hidden="1" x14ac:dyDescent="0.25">
      <c r="A34" t="str">
        <f>A16</f>
        <v>Logiciels, formations</v>
      </c>
      <c r="B34" s="112">
        <f>B16</f>
        <v>2000</v>
      </c>
      <c r="C34" s="75">
        <f t="shared" si="0"/>
        <v>400</v>
      </c>
      <c r="D34" s="75">
        <f>IF($B34&gt;(SUM(C34:$C34)),IF(ISERROR($B34/$C$29),"",$B34/$C$29),0)</f>
        <v>400</v>
      </c>
      <c r="E34" s="75">
        <f>IF($B34&gt;(SUM($C34:D34)),IF(ISERROR($B34/$C$29),"",$B34/$C$29),0)</f>
        <v>400</v>
      </c>
      <c r="F34" s="75">
        <f>IF($B34&gt;(SUM($C34:E34)),IF(ISERROR($B34/$C$29),"",$B34/$C$29),0)</f>
        <v>400</v>
      </c>
      <c r="G34" s="75">
        <f>IF($B34&gt;(SUM($C34:F34)),IF(ISERROR($B34/$C$29),"",$B34/$C$29),0)</f>
        <v>400</v>
      </c>
      <c r="H34" s="75">
        <f>IF($B34&gt;(SUM($C34:G34)),IF(ISERROR($B34/$C$29),"",$B34/$C$29),0)</f>
        <v>0</v>
      </c>
      <c r="I34" s="75">
        <f>IF($B34&gt;(SUM($C34:H34)),IF(ISERROR($B34/$C$29),"",$B34/$C$29),0)</f>
        <v>0</v>
      </c>
      <c r="J34" s="75">
        <f>IF($B34&gt;(SUM($C34:I34)),IF(ISERROR($B34/$C$29),"",$B34/$C$29),0)</f>
        <v>0</v>
      </c>
      <c r="K34" s="75">
        <f>IF($B34&gt;(SUM($C34:J34)),IF(ISERROR($B34/$C$29),"",$B34/$C$29),0)</f>
        <v>0</v>
      </c>
      <c r="L34" s="75">
        <f>IF($B34&gt;(SUM($C34:K34)),IF(ISERROR($B34/$C$29),"",$B34/$C$29),0)</f>
        <v>0</v>
      </c>
      <c r="M34" s="75">
        <f t="shared" si="1"/>
        <v>2000</v>
      </c>
    </row>
    <row r="35" spans="1:13" hidden="1" x14ac:dyDescent="0.25">
      <c r="A35" t="str">
        <f t="shared" ref="A35:B40" si="2">A19</f>
        <v>Frais de dossier</v>
      </c>
      <c r="B35" s="112">
        <f t="shared" si="2"/>
        <v>400</v>
      </c>
      <c r="C35" s="75">
        <f t="shared" si="0"/>
        <v>80</v>
      </c>
      <c r="D35" s="75">
        <f>IF($B35&gt;(SUM(C35:$C35)),IF(ISERROR($B35/$C$29),"",$B35/$C$29),0)</f>
        <v>80</v>
      </c>
      <c r="E35" s="75">
        <f>IF($B35&gt;(SUM($C35:D35)),IF(ISERROR($B35/$C$29),"",$B35/$C$29),0)</f>
        <v>80</v>
      </c>
      <c r="F35" s="75">
        <f>IF($B35&gt;(SUM($C35:E35)),IF(ISERROR($B35/$C$29),"",$B35/$C$29),0)</f>
        <v>80</v>
      </c>
      <c r="G35" s="75">
        <f>IF($B35&gt;(SUM($C35:F35)),IF(ISERROR($B35/$C$29),"",$B35/$C$29),0)</f>
        <v>80</v>
      </c>
      <c r="H35" s="75">
        <f>IF($B35&gt;(SUM($C35:G35)),IF(ISERROR($B35/$C$29),"",$B35/$C$29),0)</f>
        <v>0</v>
      </c>
      <c r="I35" s="75">
        <f>IF($B35&gt;(SUM($C35:H35)),IF(ISERROR($B35/$C$29),"",$B35/$C$29),0)</f>
        <v>0</v>
      </c>
      <c r="J35" s="75">
        <f>IF($B35&gt;(SUM($C35:I35)),IF(ISERROR($B35/$C$29),"",$B35/$C$29),0)</f>
        <v>0</v>
      </c>
      <c r="K35" s="75">
        <f>IF($B35&gt;(SUM($C35:J35)),IF(ISERROR($B35/$C$29),"",$B35/$C$29),0)</f>
        <v>0</v>
      </c>
      <c r="L35" s="75">
        <f>IF($B35&gt;(SUM($C35:K35)),IF(ISERROR($B35/$C$29),"",$B35/$C$29),0)</f>
        <v>0</v>
      </c>
      <c r="M35" s="75">
        <f t="shared" si="1"/>
        <v>400</v>
      </c>
    </row>
    <row r="36" spans="1:13" hidden="1" x14ac:dyDescent="0.25">
      <c r="A36" t="str">
        <f t="shared" si="2"/>
        <v>Eléments de communication</v>
      </c>
      <c r="B36" s="112">
        <f t="shared" si="2"/>
        <v>1500</v>
      </c>
      <c r="C36" s="75">
        <f t="shared" si="0"/>
        <v>300</v>
      </c>
      <c r="D36" s="75">
        <f>IF($B36&gt;(SUM(C36:$C36)),IF(ISERROR($B36/$C$29),"",$B36/$C$29),0)</f>
        <v>300</v>
      </c>
      <c r="E36" s="75">
        <f>IF($B36&gt;(SUM($C36:D36)),IF(ISERROR($B36/$C$29),"",$B36/$C$29),0)</f>
        <v>300</v>
      </c>
      <c r="F36" s="75">
        <f>IF($B36&gt;(SUM($C36:E36)),IF(ISERROR($B36/$C$29),"",$B36/$C$29),0)</f>
        <v>300</v>
      </c>
      <c r="G36" s="75">
        <f>IF($B36&gt;(SUM($C36:F36)),IF(ISERROR($B36/$C$29),"",$B36/$C$29),0)</f>
        <v>300</v>
      </c>
      <c r="H36" s="75">
        <f>IF($B36&gt;(SUM($C36:G36)),IF(ISERROR($B36/$C$29),"",$B36/$C$29),0)</f>
        <v>0</v>
      </c>
      <c r="I36" s="75">
        <f>IF($B36&gt;(SUM($C36:H36)),IF(ISERROR($B36/$C$29),"",$B36/$C$29),0)</f>
        <v>0</v>
      </c>
      <c r="J36" s="75">
        <f>IF($B36&gt;(SUM($C36:I36)),IF(ISERROR($B36/$C$29),"",$B36/$C$29),0)</f>
        <v>0</v>
      </c>
      <c r="K36" s="75">
        <f>IF($B36&gt;(SUM($C36:J36)),IF(ISERROR($B36/$C$29),"",$B36/$C$29),0)</f>
        <v>0</v>
      </c>
      <c r="L36" s="75">
        <f>IF($B36&gt;(SUM($C36:K36)),IF(ISERROR($B36/$C$29),"",$B36/$C$29),0)</f>
        <v>0</v>
      </c>
      <c r="M36" s="75">
        <f t="shared" si="1"/>
        <v>1500</v>
      </c>
    </row>
    <row r="37" spans="1:13" hidden="1" x14ac:dyDescent="0.25">
      <c r="A37" t="str">
        <f t="shared" si="2"/>
        <v>Achat immobilier</v>
      </c>
      <c r="B37" s="112">
        <f t="shared" si="2"/>
        <v>0</v>
      </c>
      <c r="C37" s="75">
        <f t="shared" si="0"/>
        <v>0</v>
      </c>
      <c r="D37" s="75">
        <f>IF($B37&gt;(SUM(C37:$C37)),IF(ISERROR($B37/$C$29),"",$B37/$C$29),0)</f>
        <v>0</v>
      </c>
      <c r="E37" s="75">
        <f>IF($B37&gt;(SUM($C37:D37)),IF(ISERROR($B37/$C$29),"",$B37/$C$29),0)</f>
        <v>0</v>
      </c>
      <c r="F37" s="75">
        <f>IF($B37&gt;(SUM($C37:E37)),IF(ISERROR($B37/$C$29),"",$B37/$C$29),0)</f>
        <v>0</v>
      </c>
      <c r="G37" s="75">
        <f>IF($B37&gt;(SUM($C37:F37)),IF(ISERROR($B37/$C$29),"",$B37/$C$29),0)</f>
        <v>0</v>
      </c>
      <c r="H37" s="75">
        <f>IF($B37&gt;(SUM($C37:G37)),IF(ISERROR($B37/$C$29),"",$B37/$C$29),0)</f>
        <v>0</v>
      </c>
      <c r="I37" s="75">
        <f>IF($B37&gt;(SUM($C37:H37)),IF(ISERROR($B37/$C$29),"",$B37/$C$29),0)</f>
        <v>0</v>
      </c>
      <c r="J37" s="75">
        <f>IF($B37&gt;(SUM($C37:I37)),IF(ISERROR($B37/$C$29),"",$B37/$C$29),0)</f>
        <v>0</v>
      </c>
      <c r="K37" s="75">
        <f>IF($B37&gt;(SUM($C37:J37)),IF(ISERROR($B37/$C$29),"",$B37/$C$29),0)</f>
        <v>0</v>
      </c>
      <c r="L37" s="75">
        <f>IF($B37&gt;(SUM($C37:K37)),IF(ISERROR($B37/$C$29),"",$B37/$C$29),0)</f>
        <v>0</v>
      </c>
      <c r="M37" s="75">
        <f t="shared" si="1"/>
        <v>0</v>
      </c>
    </row>
    <row r="38" spans="1:13" hidden="1" x14ac:dyDescent="0.25">
      <c r="A38" t="str">
        <f t="shared" si="2"/>
        <v>Travaux et aménagements</v>
      </c>
      <c r="B38" s="112">
        <f t="shared" si="2"/>
        <v>20000</v>
      </c>
      <c r="C38" s="75">
        <f t="shared" si="0"/>
        <v>4000</v>
      </c>
      <c r="D38" s="75">
        <f>IF($B38&gt;(SUM(C38:$C38)),IF(ISERROR($B38/$C$29),"",$B38/$C$29),0)</f>
        <v>4000</v>
      </c>
      <c r="E38" s="75">
        <f>IF($B38&gt;(SUM($C38:D38)),IF(ISERROR($B38/$C$29),"",$B38/$C$29),0)</f>
        <v>4000</v>
      </c>
      <c r="F38" s="75">
        <f>IF($B38&gt;(SUM($C38:E38)),IF(ISERROR($B38/$C$29),"",$B38/$C$29),0)</f>
        <v>4000</v>
      </c>
      <c r="G38" s="75">
        <f>IF($B38&gt;(SUM($C38:F38)),IF(ISERROR($B38/$C$29),"",$B38/$C$29),0)</f>
        <v>4000</v>
      </c>
      <c r="H38" s="75">
        <f>IF($B38&gt;(SUM($C38:G38)),IF(ISERROR($B38/$C$29),"",$B38/$C$29),0)</f>
        <v>0</v>
      </c>
      <c r="I38" s="75">
        <f>IF($B38&gt;(SUM($C38:H38)),IF(ISERROR($B38/$C$29),"",$B38/$C$29),0)</f>
        <v>0</v>
      </c>
      <c r="J38" s="75">
        <f>IF($B38&gt;(SUM($C38:I38)),IF(ISERROR($B38/$C$29),"",$B38/$C$29),0)</f>
        <v>0</v>
      </c>
      <c r="K38" s="75">
        <f>IF($B38&gt;(SUM($C38:J38)),IF(ISERROR($B38/$C$29),"",$B38/$C$29),0)</f>
        <v>0</v>
      </c>
      <c r="L38" s="75">
        <f>IF($B38&gt;(SUM($C38:K38)),IF(ISERROR($B38/$C$29),"",$B38/$C$29),0)</f>
        <v>0</v>
      </c>
      <c r="M38" s="75">
        <f t="shared" si="1"/>
        <v>20000</v>
      </c>
    </row>
    <row r="39" spans="1:13" hidden="1" x14ac:dyDescent="0.25">
      <c r="A39" t="str">
        <f t="shared" si="2"/>
        <v>Matériel</v>
      </c>
      <c r="B39" s="112">
        <f t="shared" si="2"/>
        <v>35000</v>
      </c>
      <c r="C39" s="75">
        <f t="shared" si="0"/>
        <v>7000</v>
      </c>
      <c r="D39" s="75">
        <f>IF($B39&gt;(SUM(C39:$C39)),IF(ISERROR($B39/$C$29),"",$B39/$C$29),0)</f>
        <v>7000</v>
      </c>
      <c r="E39" s="75">
        <f>IF($B39&gt;(SUM($C39:D39)),IF(ISERROR($B39/$C$29),"",$B39/$C$29),0)</f>
        <v>7000</v>
      </c>
      <c r="F39" s="75">
        <f>IF($B39&gt;(SUM($C39:E39)),IF(ISERROR($B39/$C$29),"",$B39/$C$29),0)</f>
        <v>7000</v>
      </c>
      <c r="G39" s="75">
        <f>IF($B39&gt;(SUM($C39:F39)),IF(ISERROR($B39/$C$29),"",$B39/$C$29),0)</f>
        <v>7000</v>
      </c>
      <c r="H39" s="75">
        <f>IF($B39&gt;(SUM($C39:G39)),IF(ISERROR($B39/$C$29),"",$B39/$C$29),0)</f>
        <v>0</v>
      </c>
      <c r="I39" s="75">
        <f>IF($B39&gt;(SUM($C39:H39)),IF(ISERROR($B39/$C$29),"",$B39/$C$29),0)</f>
        <v>0</v>
      </c>
      <c r="J39" s="75">
        <f>IF($B39&gt;(SUM($C39:I39)),IF(ISERROR($B39/$C$29),"",$B39/$C$29),0)</f>
        <v>0</v>
      </c>
      <c r="K39" s="75">
        <f>IF($B39&gt;(SUM($C39:J39)),IF(ISERROR($B39/$C$29),"",$B39/$C$29),0)</f>
        <v>0</v>
      </c>
      <c r="L39" s="75">
        <f>IF($B39&gt;(SUM($C39:K39)),IF(ISERROR($B39/$C$29),"",$B39/$C$29),0)</f>
        <v>0</v>
      </c>
      <c r="M39" s="75">
        <f t="shared" si="1"/>
        <v>35000</v>
      </c>
    </row>
    <row r="40" spans="1:13" hidden="1" x14ac:dyDescent="0.25">
      <c r="A40" t="str">
        <f t="shared" si="2"/>
        <v>Matériel de bureau</v>
      </c>
      <c r="B40" s="112">
        <f t="shared" si="2"/>
        <v>4000</v>
      </c>
      <c r="C40" s="75">
        <f t="shared" si="0"/>
        <v>800</v>
      </c>
      <c r="D40" s="75">
        <f>IF($B40&gt;(SUM(C40:$C40)),IF(ISERROR($B40/$C$29),"",$B40/$C$29),0)</f>
        <v>800</v>
      </c>
      <c r="E40" s="75">
        <f>IF($B40&gt;(SUM($C40:D40)),IF(ISERROR($B40/$C$29),"",$B40/$C$29),0)</f>
        <v>800</v>
      </c>
      <c r="F40" s="75">
        <f>IF($B40&gt;(SUM($C40:E40)),IF(ISERROR($B40/$C$29),"",$B40/$C$29),0)</f>
        <v>800</v>
      </c>
      <c r="G40" s="75">
        <f>IF($B40&gt;(SUM($C40:F40)),IF(ISERROR($B40/$C$29),"",$B40/$C$29),0)</f>
        <v>800</v>
      </c>
      <c r="H40" s="75">
        <f>IF($B40&gt;(SUM($C40:G40)),IF(ISERROR($B40/$C$29),"",$B40/$C$29),0)</f>
        <v>0</v>
      </c>
      <c r="I40" s="75">
        <f>IF($B40&gt;(SUM($C40:H40)),IF(ISERROR($B40/$C$29),"",$B40/$C$29),0)</f>
        <v>0</v>
      </c>
      <c r="J40" s="75">
        <f>IF($B40&gt;(SUM($C40:I40)),IF(ISERROR($B40/$C$29),"",$B40/$C$29),0)</f>
        <v>0</v>
      </c>
      <c r="K40" s="75">
        <f>IF($B40&gt;(SUM($C40:J40)),IF(ISERROR($B40/$C$29),"",$B40/$C$29),0)</f>
        <v>0</v>
      </c>
      <c r="L40" s="75">
        <f>IF($B40&gt;(SUM($C40:K40)),IF(ISERROR($B40/$C$29),"",$B40/$C$29),0)</f>
        <v>0</v>
      </c>
      <c r="M40" s="75">
        <f t="shared" si="1"/>
        <v>4000</v>
      </c>
    </row>
    <row r="41" spans="1:13" x14ac:dyDescent="0.25">
      <c r="A41" s="77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3" ht="18.75" x14ac:dyDescent="0.3">
      <c r="A42" s="13" t="s">
        <v>39</v>
      </c>
    </row>
    <row r="43" spans="1:13" x14ac:dyDescent="0.25">
      <c r="A43" s="5"/>
    </row>
    <row r="44" spans="1:13" x14ac:dyDescent="0.25">
      <c r="B44" s="198" t="s">
        <v>155</v>
      </c>
    </row>
    <row r="45" spans="1:13" ht="15" customHeight="1" x14ac:dyDescent="0.25">
      <c r="A45" s="187" t="s">
        <v>177</v>
      </c>
      <c r="B45" s="189">
        <v>10000</v>
      </c>
      <c r="C45" s="7"/>
      <c r="G45" s="214"/>
      <c r="H45" s="214"/>
    </row>
    <row r="46" spans="1:13" ht="15" customHeight="1" x14ac:dyDescent="0.25">
      <c r="A46" s="187" t="s">
        <v>53</v>
      </c>
      <c r="B46" s="189"/>
      <c r="C46" s="7"/>
      <c r="G46" s="214"/>
      <c r="H46" s="214"/>
    </row>
    <row r="47" spans="1:13" ht="15" customHeight="1" x14ac:dyDescent="0.25">
      <c r="A47" s="187" t="s">
        <v>178</v>
      </c>
      <c r="B47" s="189">
        <v>6000</v>
      </c>
      <c r="C47" s="204" t="s">
        <v>46</v>
      </c>
      <c r="D47" s="205" t="s">
        <v>158</v>
      </c>
      <c r="G47" s="214"/>
      <c r="H47" s="214"/>
    </row>
    <row r="48" spans="1:13" ht="15" customHeight="1" x14ac:dyDescent="0.25">
      <c r="A48" s="192" t="s">
        <v>245</v>
      </c>
      <c r="B48" s="189">
        <v>49100</v>
      </c>
      <c r="C48" s="191">
        <v>1.4999999999999999E-2</v>
      </c>
      <c r="D48" s="206">
        <f>5*12</f>
        <v>60</v>
      </c>
      <c r="E48" s="153"/>
      <c r="F48" s="90"/>
      <c r="G48" s="214"/>
      <c r="H48" s="214"/>
    </row>
    <row r="49" spans="1:12" ht="15" customHeight="1" x14ac:dyDescent="0.25">
      <c r="A49" s="192"/>
      <c r="B49" s="189"/>
      <c r="C49" s="191"/>
      <c r="D49" s="206"/>
      <c r="G49" s="214"/>
      <c r="H49" s="214"/>
    </row>
    <row r="50" spans="1:12" ht="15" customHeight="1" x14ac:dyDescent="0.25">
      <c r="A50" s="192"/>
      <c r="B50" s="189"/>
      <c r="C50" s="191"/>
      <c r="D50" s="206"/>
      <c r="G50" s="214"/>
      <c r="H50" s="214"/>
    </row>
    <row r="51" spans="1:12" ht="15" customHeight="1" x14ac:dyDescent="0.25">
      <c r="A51" s="192" t="s">
        <v>243</v>
      </c>
      <c r="B51" s="189">
        <v>5000</v>
      </c>
      <c r="C51" s="7"/>
      <c r="G51" s="214"/>
      <c r="H51" s="214"/>
    </row>
    <row r="52" spans="1:12" ht="15" customHeight="1" x14ac:dyDescent="0.25">
      <c r="A52" s="192"/>
      <c r="B52" s="189"/>
      <c r="C52" s="7"/>
      <c r="G52" s="214"/>
      <c r="H52" s="214"/>
    </row>
    <row r="53" spans="1:12" ht="15.75" customHeight="1" thickBot="1" x14ac:dyDescent="0.3">
      <c r="A53" s="192" t="s">
        <v>244</v>
      </c>
      <c r="B53" s="189"/>
      <c r="C53" s="7"/>
      <c r="G53" s="214"/>
      <c r="H53" s="214"/>
    </row>
    <row r="54" spans="1:12" ht="15.75" customHeight="1" thickBot="1" x14ac:dyDescent="0.3">
      <c r="A54" s="9" t="s">
        <v>33</v>
      </c>
      <c r="B54" s="11">
        <f>SUM(B45:B53)</f>
        <v>70100</v>
      </c>
      <c r="C54" s="15" t="str">
        <f>IF(B54=B27,"","Le total doit être égal au total du tableau précédent, veuillez modifier les chiffres")</f>
        <v/>
      </c>
      <c r="G54" s="214"/>
      <c r="H54" s="214"/>
    </row>
    <row r="55" spans="1:12" x14ac:dyDescent="0.25">
      <c r="A55" s="9"/>
      <c r="B55" s="79"/>
      <c r="C55" s="15"/>
    </row>
    <row r="56" spans="1:12" hidden="1" x14ac:dyDescent="0.25">
      <c r="A56" s="1" t="s">
        <v>74</v>
      </c>
      <c r="B56" s="9" t="s">
        <v>73</v>
      </c>
      <c r="C56" s="81" t="s">
        <v>115</v>
      </c>
      <c r="D56" s="82" t="s">
        <v>116</v>
      </c>
      <c r="E56" s="9" t="s">
        <v>117</v>
      </c>
      <c r="F56" s="9" t="s">
        <v>75</v>
      </c>
      <c r="G56" s="125" t="s">
        <v>109</v>
      </c>
      <c r="H56" s="125" t="s">
        <v>110</v>
      </c>
      <c r="I56" s="125" t="s">
        <v>111</v>
      </c>
      <c r="J56" s="125" t="s">
        <v>112</v>
      </c>
      <c r="K56" s="125" t="s">
        <v>113</v>
      </c>
      <c r="L56" s="125" t="s">
        <v>114</v>
      </c>
    </row>
    <row r="57" spans="1:12" hidden="1" x14ac:dyDescent="0.25">
      <c r="A57" t="s">
        <v>35</v>
      </c>
      <c r="B57" s="80">
        <f>IF(ISERROR((PMT(C48/12,D48,B48))*-1),0,(PMT(C48/12,D48,B48))*-1)</f>
        <v>849.91550349311524</v>
      </c>
      <c r="C57" s="79">
        <f>B57*D48</f>
        <v>50994.930209586913</v>
      </c>
      <c r="D57" s="82">
        <f>IF(ISERROR(B48/D48),0,B48/D48)</f>
        <v>818.33333333333337</v>
      </c>
      <c r="E57" s="154">
        <f>B57-D57</f>
        <v>31.582170159781867</v>
      </c>
      <c r="F57" s="80">
        <f>E57*D48</f>
        <v>1894.930209586912</v>
      </c>
      <c r="G57" s="155">
        <f>IF($D48&gt;12,$E57*12,$E57*$D48)</f>
        <v>378.98604191738241</v>
      </c>
      <c r="H57" s="155">
        <f>IF($D48-12&lt;0,0,IF($D48&gt;24,$E57*12,($D48-12)*$E57))</f>
        <v>378.98604191738241</v>
      </c>
      <c r="I57" s="155">
        <f>IF($D48-24&lt;0,0,IF($D48&gt;36,$E57*12,($D48-24)*$E57))</f>
        <v>378.98604191738241</v>
      </c>
      <c r="J57" s="155">
        <f>IF($D48&gt;12,$D57*12,$D57*$D48)</f>
        <v>9820</v>
      </c>
      <c r="K57" s="155">
        <f>IF($D48-12&lt;0,0,IF($D48&gt;24,$D57*12,($D48-12)*$D57))</f>
        <v>9820</v>
      </c>
      <c r="L57" s="155">
        <f>IF($D48-24&lt;0,0,IF($D48&gt;36,$D57*12,($D48-24)*$D57))</f>
        <v>9820</v>
      </c>
    </row>
    <row r="58" spans="1:12" hidden="1" x14ac:dyDescent="0.25">
      <c r="A58" t="s">
        <v>36</v>
      </c>
      <c r="B58" s="80">
        <f t="shared" ref="B58:B59" si="3">IF(ISERROR((PMT(C49/12,D49,B49))*-1),0,(PMT(C49/12,D49,B49))*-1)</f>
        <v>0</v>
      </c>
      <c r="C58" s="79">
        <f t="shared" ref="C58:C59" si="4">B58*D49</f>
        <v>0</v>
      </c>
      <c r="D58" s="82">
        <f t="shared" ref="D58:D59" si="5">IF(ISERROR(B49/D49),0,B49/D49)</f>
        <v>0</v>
      </c>
      <c r="E58" s="154">
        <f t="shared" ref="E58:E59" si="6">B58-D58</f>
        <v>0</v>
      </c>
      <c r="F58" s="80">
        <f t="shared" ref="F58:F59" si="7">E58*D49</f>
        <v>0</v>
      </c>
      <c r="G58" s="155">
        <f>IF($D49&gt;12,$E58*12,$E58*$D49)</f>
        <v>0</v>
      </c>
      <c r="H58" s="155">
        <f>IF($D49-12&lt;0,0,IF($D49&gt;24,$E58*12,($D49-12)*$E58))</f>
        <v>0</v>
      </c>
      <c r="I58" s="155">
        <f>IF($D49-24&lt;0,0,IF($D49&gt;36,$E58*12,($D49-24)*$E58))</f>
        <v>0</v>
      </c>
      <c r="J58" s="155">
        <f>IF($D49&gt;12,$D58*12,$D58*$D49)</f>
        <v>0</v>
      </c>
      <c r="K58" s="155">
        <f>IF($D49-12&lt;0,0,IF($D49&gt;24,$D58*12,($D49-12)*$D58))</f>
        <v>0</v>
      </c>
      <c r="L58" s="155">
        <f>IF($D49-24&lt;0,0,IF($D49&gt;36,$D58*12,($D49-24)*$D58))</f>
        <v>0</v>
      </c>
    </row>
    <row r="59" spans="1:12" hidden="1" x14ac:dyDescent="0.25">
      <c r="A59" t="s">
        <v>37</v>
      </c>
      <c r="B59" s="80">
        <f t="shared" si="3"/>
        <v>0</v>
      </c>
      <c r="C59" s="79">
        <f t="shared" si="4"/>
        <v>0</v>
      </c>
      <c r="D59" s="82">
        <f t="shared" si="5"/>
        <v>0</v>
      </c>
      <c r="E59" s="154">
        <f t="shared" si="6"/>
        <v>0</v>
      </c>
      <c r="F59" s="80">
        <f t="shared" si="7"/>
        <v>0</v>
      </c>
      <c r="G59" s="155">
        <f>IF($D50&gt;12,$E59*12,$E59*$D50)</f>
        <v>0</v>
      </c>
      <c r="H59" s="155">
        <f>IF($D50-12&lt;0,0,IF($D50&gt;24,$E59*12,($D50-12)*$E59))</f>
        <v>0</v>
      </c>
      <c r="I59" s="155">
        <f>IF($D50-24&lt;0,0,IF($D50&gt;36,$E59*12,($D50-24)*$E59))</f>
        <v>0</v>
      </c>
      <c r="J59" s="155">
        <f>IF($D50&gt;12,$D59*12,$D59*$D50)</f>
        <v>0</v>
      </c>
      <c r="K59" s="155">
        <f>IF($D50-12&lt;0,0,IF($D50&gt;24,$D59*12,($D50-12)*$D59))</f>
        <v>0</v>
      </c>
      <c r="L59" s="155">
        <f>IF($D50-24&lt;0,0,IF($D50&gt;36,$D59*12,($D50-24)*$D59))</f>
        <v>0</v>
      </c>
    </row>
    <row r="60" spans="1:12" ht="29.25" customHeight="1" x14ac:dyDescent="0.3">
      <c r="A60" s="13" t="s">
        <v>40</v>
      </c>
      <c r="H60" s="209"/>
      <c r="I60" s="210">
        <f t="shared" ref="I60:L60" si="8">SUM(I57:I59)</f>
        <v>378.98604191738241</v>
      </c>
      <c r="J60" s="172">
        <f t="shared" si="8"/>
        <v>9820</v>
      </c>
      <c r="K60" s="172">
        <f t="shared" si="8"/>
        <v>9820</v>
      </c>
      <c r="L60" s="172">
        <f t="shared" si="8"/>
        <v>9820</v>
      </c>
    </row>
    <row r="61" spans="1:12" x14ac:dyDescent="0.25">
      <c r="A61" s="5" t="s">
        <v>180</v>
      </c>
    </row>
    <row r="62" spans="1:12" x14ac:dyDescent="0.25"/>
    <row r="63" spans="1:12" x14ac:dyDescent="0.25">
      <c r="B63" s="199" t="s">
        <v>152</v>
      </c>
      <c r="C63" s="199" t="s">
        <v>153</v>
      </c>
      <c r="D63" s="199" t="s">
        <v>154</v>
      </c>
    </row>
    <row r="64" spans="1:12" x14ac:dyDescent="0.25">
      <c r="A64" s="187" t="s">
        <v>11</v>
      </c>
      <c r="B64" s="193">
        <v>700</v>
      </c>
      <c r="C64" s="194">
        <v>720</v>
      </c>
      <c r="D64" s="195">
        <v>740</v>
      </c>
    </row>
    <row r="65" spans="1:8" ht="15" customHeight="1" x14ac:dyDescent="0.25">
      <c r="A65" s="187" t="s">
        <v>12</v>
      </c>
      <c r="B65" s="193">
        <f>80*12</f>
        <v>960</v>
      </c>
      <c r="C65" s="194">
        <v>1000</v>
      </c>
      <c r="D65" s="195">
        <v>1000</v>
      </c>
      <c r="G65" s="214"/>
      <c r="H65" s="214"/>
    </row>
    <row r="66" spans="1:8" ht="15" customHeight="1" x14ac:dyDescent="0.25">
      <c r="A66" s="187" t="s">
        <v>31</v>
      </c>
      <c r="B66" s="193">
        <v>500</v>
      </c>
      <c r="C66" s="194">
        <v>550</v>
      </c>
      <c r="D66" s="195">
        <v>600</v>
      </c>
      <c r="G66" s="214"/>
      <c r="H66" s="214"/>
    </row>
    <row r="67" spans="1:8" ht="15" customHeight="1" x14ac:dyDescent="0.25">
      <c r="A67" s="187" t="s">
        <v>13</v>
      </c>
      <c r="B67" s="193">
        <v>500</v>
      </c>
      <c r="C67" s="194">
        <v>500</v>
      </c>
      <c r="D67" s="195">
        <v>600</v>
      </c>
      <c r="G67" s="214"/>
      <c r="H67" s="214"/>
    </row>
    <row r="68" spans="1:8" ht="15" customHeight="1" x14ac:dyDescent="0.25">
      <c r="A68" s="187" t="s">
        <v>14</v>
      </c>
      <c r="B68" s="193"/>
      <c r="C68" s="194"/>
      <c r="D68" s="195"/>
      <c r="G68" s="214"/>
      <c r="H68" s="214"/>
    </row>
    <row r="69" spans="1:8" ht="15" customHeight="1" x14ac:dyDescent="0.25">
      <c r="A69" s="187" t="s">
        <v>5</v>
      </c>
      <c r="B69" s="193">
        <f>250*12</f>
        <v>3000</v>
      </c>
      <c r="C69" s="194">
        <v>3200</v>
      </c>
      <c r="D69" s="195">
        <v>3400</v>
      </c>
      <c r="G69" s="214"/>
      <c r="H69" s="214"/>
    </row>
    <row r="70" spans="1:8" ht="15" customHeight="1" x14ac:dyDescent="0.25">
      <c r="A70" s="187" t="s">
        <v>17</v>
      </c>
      <c r="B70" s="193">
        <f>50*12</f>
        <v>600</v>
      </c>
      <c r="C70" s="194">
        <v>700</v>
      </c>
      <c r="D70" s="195">
        <v>800</v>
      </c>
      <c r="E70" s="6"/>
      <c r="G70" s="214"/>
      <c r="H70" s="214"/>
    </row>
    <row r="71" spans="1:8" ht="15" customHeight="1" x14ac:dyDescent="0.25">
      <c r="A71" s="187" t="s">
        <v>18</v>
      </c>
      <c r="B71" s="193">
        <v>2500</v>
      </c>
      <c r="C71" s="194">
        <v>2700</v>
      </c>
      <c r="D71" s="195">
        <v>2900</v>
      </c>
      <c r="E71" s="6"/>
      <c r="G71" s="214"/>
      <c r="H71" s="214"/>
    </row>
    <row r="72" spans="1:8" ht="15" customHeight="1" x14ac:dyDescent="0.25">
      <c r="A72" s="187" t="s">
        <v>19</v>
      </c>
      <c r="B72" s="193">
        <v>1900</v>
      </c>
      <c r="C72" s="194">
        <v>2000</v>
      </c>
      <c r="D72" s="195">
        <v>2100</v>
      </c>
      <c r="E72" s="6"/>
      <c r="G72" s="214"/>
      <c r="H72" s="214"/>
    </row>
    <row r="73" spans="1:8" ht="15" customHeight="1" x14ac:dyDescent="0.25">
      <c r="A73" s="187" t="s">
        <v>20</v>
      </c>
      <c r="B73" s="193">
        <v>800</v>
      </c>
      <c r="C73" s="194">
        <v>900</v>
      </c>
      <c r="D73" s="195">
        <v>1000</v>
      </c>
      <c r="E73" s="6"/>
      <c r="G73" s="214"/>
      <c r="H73" s="214"/>
    </row>
    <row r="74" spans="1:8" ht="15.75" customHeight="1" x14ac:dyDescent="0.25">
      <c r="A74" s="187" t="s">
        <v>186</v>
      </c>
      <c r="B74" s="193">
        <v>2000</v>
      </c>
      <c r="C74" s="194">
        <v>2000</v>
      </c>
      <c r="D74" s="195">
        <v>2000</v>
      </c>
      <c r="E74" s="6"/>
      <c r="G74" s="214"/>
      <c r="H74" s="214"/>
    </row>
    <row r="75" spans="1:8" x14ac:dyDescent="0.25">
      <c r="A75" s="187" t="s">
        <v>21</v>
      </c>
      <c r="B75" s="193">
        <f>900*12</f>
        <v>10800</v>
      </c>
      <c r="C75" s="194">
        <v>11000</v>
      </c>
      <c r="D75" s="195">
        <v>11000</v>
      </c>
      <c r="E75" s="6"/>
    </row>
    <row r="76" spans="1:8" x14ac:dyDescent="0.25">
      <c r="A76" s="187" t="s">
        <v>187</v>
      </c>
      <c r="B76" s="193">
        <v>2000</v>
      </c>
      <c r="C76" s="194">
        <v>2500</v>
      </c>
      <c r="D76" s="195">
        <v>3000</v>
      </c>
      <c r="E76" s="6"/>
    </row>
    <row r="77" spans="1:8" x14ac:dyDescent="0.25">
      <c r="A77" s="187" t="s">
        <v>22</v>
      </c>
      <c r="B77" s="193"/>
      <c r="C77" s="194"/>
      <c r="D77" s="195"/>
      <c r="E77" s="6"/>
    </row>
    <row r="78" spans="1:8" x14ac:dyDescent="0.25">
      <c r="A78" s="187" t="s">
        <v>179</v>
      </c>
      <c r="B78" s="193">
        <v>600</v>
      </c>
      <c r="C78" s="194">
        <v>600</v>
      </c>
      <c r="D78" s="195">
        <v>600</v>
      </c>
      <c r="E78" s="89"/>
    </row>
    <row r="79" spans="1:8" x14ac:dyDescent="0.25">
      <c r="A79" s="188" t="s">
        <v>32</v>
      </c>
    </row>
    <row r="80" spans="1:8" x14ac:dyDescent="0.25">
      <c r="A80" s="196" t="s">
        <v>162</v>
      </c>
      <c r="B80" s="193"/>
      <c r="C80" s="194"/>
      <c r="D80" s="195"/>
    </row>
    <row r="81" spans="1:9" x14ac:dyDescent="0.25">
      <c r="A81" s="196" t="s">
        <v>163</v>
      </c>
      <c r="B81" s="193"/>
      <c r="C81" s="194"/>
      <c r="D81" s="195"/>
    </row>
    <row r="82" spans="1:9" x14ac:dyDescent="0.25">
      <c r="A82" s="196" t="s">
        <v>164</v>
      </c>
      <c r="B82" s="193"/>
      <c r="C82" s="194"/>
      <c r="D82" s="195"/>
    </row>
    <row r="83" spans="1:9" ht="6" customHeight="1" thickBot="1" x14ac:dyDescent="0.3"/>
    <row r="84" spans="1:9" ht="15.75" thickBot="1" x14ac:dyDescent="0.3">
      <c r="A84" s="9" t="s">
        <v>33</v>
      </c>
      <c r="B84" s="11">
        <f>SUM(B64:B82)</f>
        <v>26860</v>
      </c>
      <c r="C84" s="11">
        <f>SUM(C64:C82)</f>
        <v>28370</v>
      </c>
      <c r="D84" s="11">
        <f>SUM(D64:D82)</f>
        <v>29740</v>
      </c>
    </row>
    <row r="85" spans="1:9" x14ac:dyDescent="0.25"/>
    <row r="86" spans="1:9" ht="18.75" x14ac:dyDescent="0.3">
      <c r="A86" s="13" t="s">
        <v>185</v>
      </c>
    </row>
    <row r="87" spans="1:9" x14ac:dyDescent="0.25">
      <c r="A87" s="5" t="s">
        <v>227</v>
      </c>
    </row>
    <row r="88" spans="1:9" x14ac:dyDescent="0.25"/>
    <row r="89" spans="1:9" ht="47.25" x14ac:dyDescent="0.25">
      <c r="A89" s="266" t="s">
        <v>28</v>
      </c>
      <c r="B89" s="233"/>
      <c r="C89" s="265" t="s">
        <v>190</v>
      </c>
      <c r="D89" s="265" t="s">
        <v>191</v>
      </c>
      <c r="E89" s="265" t="s">
        <v>178</v>
      </c>
      <c r="F89" s="265" t="s">
        <v>193</v>
      </c>
      <c r="G89" s="265" t="s">
        <v>194</v>
      </c>
      <c r="H89" s="236"/>
      <c r="I89" s="236"/>
    </row>
    <row r="90" spans="1:9" x14ac:dyDescent="0.25">
      <c r="A90" s="235"/>
      <c r="B90" s="262" t="s">
        <v>213</v>
      </c>
      <c r="C90" s="239"/>
      <c r="D90" s="239">
        <v>25000</v>
      </c>
      <c r="E90" s="239">
        <v>100</v>
      </c>
      <c r="F90" s="239"/>
      <c r="G90" s="239"/>
      <c r="H90" s="234"/>
      <c r="I90" s="237"/>
    </row>
    <row r="91" spans="1:9" x14ac:dyDescent="0.25">
      <c r="A91" s="235"/>
      <c r="B91" s="263" t="s">
        <v>214</v>
      </c>
      <c r="C91" s="240"/>
      <c r="D91" s="240">
        <v>85000</v>
      </c>
      <c r="E91" s="240">
        <v>100</v>
      </c>
      <c r="F91" s="240">
        <f>100*15</f>
        <v>1500</v>
      </c>
      <c r="G91" s="240"/>
      <c r="H91" s="234"/>
      <c r="I91" s="237"/>
    </row>
    <row r="92" spans="1:9" x14ac:dyDescent="0.25">
      <c r="A92" s="235"/>
      <c r="B92" s="263" t="s">
        <v>215</v>
      </c>
      <c r="C92" s="240"/>
      <c r="D92" s="240"/>
      <c r="E92" s="240">
        <v>100</v>
      </c>
      <c r="F92" s="240"/>
      <c r="G92" s="240"/>
      <c r="H92" s="234"/>
      <c r="I92" s="237"/>
    </row>
    <row r="93" spans="1:9" x14ac:dyDescent="0.25">
      <c r="A93" s="235"/>
      <c r="B93" s="263" t="s">
        <v>216</v>
      </c>
      <c r="C93" s="240"/>
      <c r="D93" s="240"/>
      <c r="E93" s="240">
        <v>100</v>
      </c>
      <c r="F93" s="240"/>
      <c r="G93" s="240"/>
      <c r="H93" s="234"/>
      <c r="I93" s="237"/>
    </row>
    <row r="94" spans="1:9" x14ac:dyDescent="0.25">
      <c r="A94" s="235"/>
      <c r="B94" s="263" t="s">
        <v>217</v>
      </c>
      <c r="C94" s="240"/>
      <c r="D94" s="240"/>
      <c r="E94" s="240">
        <v>100</v>
      </c>
      <c r="F94" s="240"/>
      <c r="G94" s="240"/>
      <c r="H94" s="234"/>
      <c r="I94" s="237"/>
    </row>
    <row r="95" spans="1:9" x14ac:dyDescent="0.25">
      <c r="A95" s="235"/>
      <c r="B95" s="263" t="s">
        <v>218</v>
      </c>
      <c r="C95" s="240"/>
      <c r="D95" s="240"/>
      <c r="E95" s="240">
        <v>100</v>
      </c>
      <c r="F95" s="240"/>
      <c r="G95" s="240">
        <v>500</v>
      </c>
      <c r="H95" s="234"/>
      <c r="I95" s="237"/>
    </row>
    <row r="96" spans="1:9" x14ac:dyDescent="0.25">
      <c r="A96" s="235"/>
      <c r="B96" s="263" t="s">
        <v>219</v>
      </c>
      <c r="C96" s="240"/>
      <c r="D96" s="240"/>
      <c r="E96" s="240">
        <v>100</v>
      </c>
      <c r="F96" s="240"/>
      <c r="G96" s="240"/>
      <c r="H96" s="234"/>
      <c r="I96" s="237"/>
    </row>
    <row r="97" spans="1:9" x14ac:dyDescent="0.25">
      <c r="A97" s="235"/>
      <c r="B97" s="263" t="s">
        <v>220</v>
      </c>
      <c r="C97" s="240"/>
      <c r="D97" s="240"/>
      <c r="E97" s="240">
        <v>100</v>
      </c>
      <c r="F97" s="240"/>
      <c r="G97" s="240"/>
      <c r="H97" s="234"/>
      <c r="I97" s="237"/>
    </row>
    <row r="98" spans="1:9" x14ac:dyDescent="0.25">
      <c r="A98" s="235"/>
      <c r="B98" s="263" t="s">
        <v>221</v>
      </c>
      <c r="C98" s="240"/>
      <c r="D98" s="240"/>
      <c r="E98" s="240">
        <v>100</v>
      </c>
      <c r="F98" s="240"/>
      <c r="G98" s="240"/>
      <c r="H98" s="234"/>
      <c r="I98" s="237"/>
    </row>
    <row r="99" spans="1:9" x14ac:dyDescent="0.25">
      <c r="A99" s="235"/>
      <c r="B99" s="263" t="s">
        <v>222</v>
      </c>
      <c r="C99" s="240">
        <v>500</v>
      </c>
      <c r="D99" s="240"/>
      <c r="E99" s="240">
        <v>100</v>
      </c>
      <c r="F99" s="240"/>
      <c r="G99" s="240"/>
      <c r="H99" s="234"/>
      <c r="I99" s="237"/>
    </row>
    <row r="100" spans="1:9" x14ac:dyDescent="0.25">
      <c r="A100" s="235"/>
      <c r="B100" s="263" t="s">
        <v>223</v>
      </c>
      <c r="C100" s="240"/>
      <c r="D100" s="240"/>
      <c r="E100" s="240">
        <v>100</v>
      </c>
      <c r="F100" s="240"/>
      <c r="G100" s="240"/>
      <c r="H100" s="234"/>
      <c r="I100" s="237"/>
    </row>
    <row r="101" spans="1:9" x14ac:dyDescent="0.25">
      <c r="A101" s="235"/>
      <c r="B101" s="264" t="s">
        <v>224</v>
      </c>
      <c r="C101" s="241"/>
      <c r="D101" s="241"/>
      <c r="E101" s="241">
        <v>100</v>
      </c>
      <c r="F101" s="241"/>
      <c r="G101" s="241"/>
      <c r="H101" s="234"/>
      <c r="I101" s="237"/>
    </row>
    <row r="102" spans="1:9" x14ac:dyDescent="0.25">
      <c r="A102" s="12"/>
      <c r="B102" s="252" t="s">
        <v>33</v>
      </c>
      <c r="C102" s="242">
        <f>SUM(C90:C101)</f>
        <v>500</v>
      </c>
      <c r="D102" s="242">
        <f>SUM(D90:D101)</f>
        <v>110000</v>
      </c>
      <c r="E102" s="242">
        <f>SUM(E90:E101)</f>
        <v>1200</v>
      </c>
      <c r="F102" s="242">
        <f>SUM(F90:F101)</f>
        <v>1500</v>
      </c>
      <c r="G102" s="242">
        <f>SUM(G90:G101)</f>
        <v>500</v>
      </c>
      <c r="H102" s="246">
        <f>SUM(C102:G102)</f>
        <v>113700</v>
      </c>
      <c r="I102" s="18"/>
    </row>
    <row r="103" spans="1:9" ht="5.25" customHeight="1" x14ac:dyDescent="0.25">
      <c r="H103" s="18"/>
      <c r="I103" s="18"/>
    </row>
    <row r="104" spans="1:9" x14ac:dyDescent="0.25">
      <c r="A104" s="253" t="s">
        <v>188</v>
      </c>
      <c r="B104" s="254"/>
      <c r="C104" s="238">
        <v>0.05</v>
      </c>
      <c r="D104" s="238">
        <v>0.05</v>
      </c>
      <c r="E104" s="238">
        <v>0.05</v>
      </c>
      <c r="F104" s="238">
        <v>0.05</v>
      </c>
      <c r="G104" s="238">
        <v>0.05</v>
      </c>
      <c r="H104" s="18"/>
      <c r="I104" s="18"/>
    </row>
    <row r="105" spans="1:9" x14ac:dyDescent="0.25">
      <c r="A105" s="253" t="s">
        <v>189</v>
      </c>
      <c r="B105" s="254"/>
      <c r="C105" s="238">
        <v>0.05</v>
      </c>
      <c r="D105" s="238">
        <v>0.05</v>
      </c>
      <c r="E105" s="238">
        <v>0.05</v>
      </c>
      <c r="F105" s="238">
        <v>0.05</v>
      </c>
      <c r="G105" s="238">
        <v>0.05</v>
      </c>
      <c r="H105" s="18"/>
      <c r="I105" s="18"/>
    </row>
    <row r="106" spans="1:9" x14ac:dyDescent="0.25"/>
    <row r="107" spans="1:9" ht="18.75" x14ac:dyDescent="0.3">
      <c r="A107" s="13" t="s">
        <v>41</v>
      </c>
    </row>
    <row r="108" spans="1:9" ht="47.25" customHeight="1" x14ac:dyDescent="0.25">
      <c r="A108" s="280" t="s">
        <v>198</v>
      </c>
      <c r="B108" s="280"/>
      <c r="C108" s="280"/>
      <c r="D108" s="280"/>
      <c r="G108" s="276"/>
      <c r="H108" s="276"/>
    </row>
    <row r="109" spans="1:9" ht="15" customHeight="1" x14ac:dyDescent="0.25">
      <c r="G109" s="274"/>
      <c r="H109" s="274"/>
    </row>
    <row r="110" spans="1:9" ht="15.75" customHeight="1" x14ac:dyDescent="0.25">
      <c r="A110" s="16" t="s">
        <v>197</v>
      </c>
      <c r="D110" s="197">
        <v>0</v>
      </c>
      <c r="G110" s="274"/>
      <c r="H110" s="274"/>
    </row>
    <row r="111" spans="1:9" ht="15" customHeight="1" x14ac:dyDescent="0.25">
      <c r="D111" s="159" t="s">
        <v>196</v>
      </c>
      <c r="G111" s="274"/>
      <c r="H111" s="274"/>
    </row>
    <row r="112" spans="1:9" ht="18.75" customHeight="1" x14ac:dyDescent="0.3">
      <c r="A112" s="249"/>
      <c r="B112" s="48"/>
      <c r="C112" s="48"/>
      <c r="D112" s="48"/>
      <c r="E112" s="48"/>
      <c r="F112" s="48"/>
      <c r="G112" s="274"/>
      <c r="H112" s="274"/>
    </row>
    <row r="113" spans="1:9" ht="18.75" customHeight="1" x14ac:dyDescent="0.3">
      <c r="A113" s="13" t="s">
        <v>210</v>
      </c>
      <c r="G113" s="274"/>
      <c r="H113" s="274"/>
    </row>
    <row r="114" spans="1:9" ht="14.25" customHeight="1" x14ac:dyDescent="0.25">
      <c r="G114" s="274"/>
      <c r="H114" s="274"/>
    </row>
    <row r="115" spans="1:9" ht="15.75" customHeight="1" x14ac:dyDescent="0.25">
      <c r="B115" s="10" t="s">
        <v>28</v>
      </c>
      <c r="C115" s="10" t="s">
        <v>29</v>
      </c>
      <c r="D115" s="10" t="s">
        <v>30</v>
      </c>
      <c r="G115" s="274"/>
      <c r="H115" s="274"/>
    </row>
    <row r="116" spans="1:9" ht="15" customHeight="1" x14ac:dyDescent="0.25">
      <c r="A116" t="s">
        <v>159</v>
      </c>
      <c r="B116" s="193">
        <f>1200*2*12</f>
        <v>28800</v>
      </c>
      <c r="C116" s="194">
        <v>30000</v>
      </c>
      <c r="D116" s="195">
        <v>30000</v>
      </c>
      <c r="E116" s="173" t="s">
        <v>145</v>
      </c>
      <c r="G116" s="274"/>
      <c r="H116" s="274"/>
    </row>
    <row r="117" spans="1:9" ht="18.75" customHeight="1" x14ac:dyDescent="0.25">
      <c r="A117" t="s">
        <v>225</v>
      </c>
      <c r="B117" s="193">
        <f>1000*12</f>
        <v>12000</v>
      </c>
      <c r="C117" s="194">
        <v>14000</v>
      </c>
      <c r="D117" s="195">
        <v>16000</v>
      </c>
      <c r="E117" s="173" t="s">
        <v>145</v>
      </c>
      <c r="G117" s="274"/>
      <c r="H117" s="274"/>
    </row>
    <row r="118" spans="1:9" ht="15" customHeight="1" x14ac:dyDescent="0.25">
      <c r="A118" s="255" t="s">
        <v>167</v>
      </c>
      <c r="G118" s="274"/>
      <c r="H118" s="274"/>
    </row>
    <row r="119" spans="1:9" ht="15" customHeight="1" x14ac:dyDescent="0.25"/>
    <row r="120" spans="1:9" ht="15" customHeight="1" x14ac:dyDescent="0.25"/>
    <row r="121" spans="1:9" ht="15" customHeight="1" x14ac:dyDescent="0.3">
      <c r="A121" s="13" t="s">
        <v>211</v>
      </c>
      <c r="E121" s="158"/>
      <c r="G121" s="224"/>
    </row>
    <row r="122" spans="1:9" ht="15" customHeight="1" thickBot="1" x14ac:dyDescent="0.3">
      <c r="D122" s="198" t="s">
        <v>160</v>
      </c>
      <c r="E122" s="158"/>
      <c r="G122" s="224"/>
    </row>
    <row r="123" spans="1:9" ht="15" customHeight="1" thickBot="1" x14ac:dyDescent="0.3">
      <c r="A123" s="17" t="s">
        <v>43</v>
      </c>
      <c r="D123" s="14" t="str">
        <f>IF(ISERROR(IF('Plan financier à imprimer'!BN44&lt;0,"Trop faible","Adéquate")),"",+IF('Plan financier à imprimer'!BN44&lt;0,"Trop faible","Adéquate"))</f>
        <v>Adéquate</v>
      </c>
      <c r="E123" s="207" t="str">
        <f>IF(D123="Trop faible","  Prévoyez plus de trésorerie de départ !","")</f>
        <v/>
      </c>
      <c r="G123" s="267"/>
      <c r="H123" s="267"/>
    </row>
    <row r="124" spans="1:9" ht="15" hidden="1" customHeight="1" x14ac:dyDescent="0.25">
      <c r="A124" s="1" t="s">
        <v>182</v>
      </c>
      <c r="B124" s="10" t="s">
        <v>28</v>
      </c>
      <c r="C124" s="10" t="s">
        <v>29</v>
      </c>
      <c r="D124" s="10" t="s">
        <v>30</v>
      </c>
      <c r="F124" s="20"/>
      <c r="G124" s="267"/>
      <c r="H124" s="267"/>
      <c r="I124" s="227"/>
    </row>
    <row r="125" spans="1:9" ht="15" hidden="1" customHeight="1" x14ac:dyDescent="0.25">
      <c r="A125" t="s">
        <v>63</v>
      </c>
      <c r="B125" s="73">
        <f>B116*0.74</f>
        <v>21312</v>
      </c>
      <c r="C125" s="73">
        <f>C116*0.74</f>
        <v>22200</v>
      </c>
      <c r="D125" s="73">
        <f>D116*0.74</f>
        <v>22200</v>
      </c>
      <c r="F125" s="19"/>
      <c r="G125" s="267"/>
      <c r="H125" s="267"/>
      <c r="I125" s="95"/>
    </row>
    <row r="126" spans="1:9" ht="15" hidden="1" customHeight="1" x14ac:dyDescent="0.25">
      <c r="A126" t="s">
        <v>183</v>
      </c>
      <c r="B126" s="232">
        <f>B117*74%</f>
        <v>8880</v>
      </c>
      <c r="C126" s="232">
        <f>C117*74%</f>
        <v>10360</v>
      </c>
      <c r="D126" s="232">
        <f>D117*74%</f>
        <v>11840</v>
      </c>
      <c r="F126" s="19"/>
      <c r="G126" s="267"/>
      <c r="H126" s="267"/>
      <c r="I126" s="228"/>
    </row>
    <row r="127" spans="1:9" ht="15" customHeight="1" x14ac:dyDescent="0.25">
      <c r="B127" s="53"/>
      <c r="C127" s="53"/>
      <c r="D127" s="53"/>
      <c r="G127" s="267"/>
      <c r="H127" s="267"/>
    </row>
    <row r="128" spans="1:9" ht="18.75" customHeight="1" x14ac:dyDescent="0.3">
      <c r="A128" s="248"/>
      <c r="B128" s="48"/>
      <c r="C128" s="48"/>
      <c r="D128" s="48"/>
      <c r="G128" s="267"/>
      <c r="H128" s="267"/>
    </row>
    <row r="129" spans="1:8" ht="24" customHeight="1" x14ac:dyDescent="0.4">
      <c r="A129" s="208" t="s">
        <v>212</v>
      </c>
      <c r="G129" s="267"/>
      <c r="H129" s="267"/>
    </row>
    <row r="130" spans="1:8" ht="16.5" customHeight="1" x14ac:dyDescent="0.25">
      <c r="G130" s="267"/>
      <c r="H130" s="267"/>
    </row>
    <row r="131" spans="1:8" ht="15" customHeight="1" x14ac:dyDescent="0.25">
      <c r="A131" s="223" t="s">
        <v>161</v>
      </c>
      <c r="G131" s="267"/>
      <c r="H131" s="267"/>
    </row>
    <row r="132" spans="1:8" ht="18.75" customHeight="1" x14ac:dyDescent="0.25">
      <c r="G132" s="267"/>
      <c r="H132" s="267"/>
    </row>
    <row r="133" spans="1:8" ht="15.75" customHeight="1" x14ac:dyDescent="0.25"/>
    <row r="134" spans="1:8" ht="16.5" customHeight="1" x14ac:dyDescent="0.25"/>
    <row r="135" spans="1:8" ht="15" customHeight="1" x14ac:dyDescent="0.25">
      <c r="E135" s="158"/>
    </row>
    <row r="136" spans="1:8" x14ac:dyDescent="0.25"/>
    <row r="137" spans="1:8" ht="15.75" customHeight="1" x14ac:dyDescent="0.25"/>
    <row r="138" spans="1:8" x14ac:dyDescent="0.25"/>
    <row r="139" spans="1:8" x14ac:dyDescent="0.25"/>
    <row r="140" spans="1:8" x14ac:dyDescent="0.25"/>
    <row r="141" spans="1:8" x14ac:dyDescent="0.25"/>
    <row r="142" spans="1:8" x14ac:dyDescent="0.25"/>
    <row r="143" spans="1:8" x14ac:dyDescent="0.25"/>
    <row r="144" spans="1:8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</sheetData>
  <sheetProtection algorithmName="SHA-512" hashValue="zwhtC1J1BOcpUr7gtQxEe7pSif5kzX0tu8XRsyjCkrGaiKImzaJqUPKASoym/Yw6Z1J/gJQ8p7wo6VD6U+uHzg==" saltValue="ILXAWAc6uds42LTHmv5pmw==" spinCount="100000" sheet="1" objects="1" scenarios="1"/>
  <dataConsolidate/>
  <mergeCells count="7">
    <mergeCell ref="G108:H108"/>
    <mergeCell ref="B6:C6"/>
    <mergeCell ref="B8:C8"/>
    <mergeCell ref="B9:C9"/>
    <mergeCell ref="A108:D108"/>
    <mergeCell ref="B7:C7"/>
    <mergeCell ref="B10:C10"/>
  </mergeCells>
  <conditionalFormatting sqref="D123">
    <cfRule type="cellIs" dxfId="1" priority="1" operator="equal">
      <formula>"Trop faible"</formula>
    </cfRule>
    <cfRule type="cellIs" dxfId="0" priority="2" operator="equal">
      <formula>"Adéquate"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1" width="11.42578125" customWidth="1"/>
    <col min="52" max="56" width="12.5703125" style="164" customWidth="1"/>
    <col min="57" max="57" width="3" customWidth="1"/>
    <col min="58" max="58" width="3.85546875" customWidth="1"/>
    <col min="59" max="66" width="12.5703125" customWidth="1"/>
    <col min="67" max="67" width="2.5703125" customWidth="1"/>
  </cols>
  <sheetData>
    <row r="1" spans="2:66" ht="27.75" customHeight="1" thickBot="1" x14ac:dyDescent="0.3"/>
    <row r="2" spans="2:66" ht="15" customHeight="1" thickTop="1" x14ac:dyDescent="0.25">
      <c r="B2" s="24"/>
      <c r="C2" s="25"/>
      <c r="D2" s="25"/>
      <c r="E2" s="25"/>
      <c r="F2" s="25"/>
      <c r="G2" s="25"/>
      <c r="H2" s="26"/>
      <c r="K2" s="284" t="s">
        <v>85</v>
      </c>
      <c r="L2" s="285"/>
      <c r="M2" s="285"/>
      <c r="N2" s="285"/>
      <c r="O2" s="285"/>
      <c r="P2" s="285"/>
      <c r="Q2" s="286"/>
      <c r="T2" s="284" t="s">
        <v>90</v>
      </c>
      <c r="U2" s="285"/>
      <c r="V2" s="285"/>
      <c r="W2" s="285"/>
      <c r="X2" s="285"/>
      <c r="Y2" s="285"/>
      <c r="Z2" s="286"/>
      <c r="AC2" s="284" t="s">
        <v>55</v>
      </c>
      <c r="AD2" s="285"/>
      <c r="AE2" s="285"/>
      <c r="AF2" s="285"/>
      <c r="AG2" s="285"/>
      <c r="AH2" s="285"/>
      <c r="AI2" s="286"/>
      <c r="AL2" s="284" t="s">
        <v>98</v>
      </c>
      <c r="AM2" s="285"/>
      <c r="AN2" s="285"/>
      <c r="AO2" s="285"/>
      <c r="AP2" s="285"/>
      <c r="AQ2" s="285"/>
      <c r="AR2" s="285"/>
      <c r="AS2" s="285"/>
      <c r="AT2" s="286"/>
      <c r="AW2" s="284" t="s">
        <v>121</v>
      </c>
      <c r="AX2" s="285"/>
      <c r="AY2" s="285"/>
      <c r="AZ2" s="285"/>
      <c r="BA2" s="285"/>
      <c r="BB2" s="285"/>
      <c r="BC2" s="285"/>
      <c r="BD2" s="286"/>
      <c r="BG2" s="284" t="s">
        <v>128</v>
      </c>
      <c r="BH2" s="285"/>
      <c r="BI2" s="285"/>
      <c r="BJ2" s="285"/>
      <c r="BK2" s="285"/>
      <c r="BL2" s="285"/>
      <c r="BM2" s="285"/>
      <c r="BN2" s="286"/>
    </row>
    <row r="3" spans="2:66" ht="15" customHeight="1" x14ac:dyDescent="0.25">
      <c r="B3" s="27"/>
      <c r="C3" s="19"/>
      <c r="D3" s="19"/>
      <c r="E3" s="225"/>
      <c r="F3" s="215"/>
      <c r="G3" s="215"/>
      <c r="H3" s="28"/>
      <c r="K3" s="287"/>
      <c r="L3" s="288"/>
      <c r="M3" s="288"/>
      <c r="N3" s="288"/>
      <c r="O3" s="288"/>
      <c r="P3" s="288"/>
      <c r="Q3" s="289"/>
      <c r="T3" s="287"/>
      <c r="U3" s="288"/>
      <c r="V3" s="288"/>
      <c r="W3" s="288"/>
      <c r="X3" s="288"/>
      <c r="Y3" s="288"/>
      <c r="Z3" s="289"/>
      <c r="AC3" s="287"/>
      <c r="AD3" s="288"/>
      <c r="AE3" s="288"/>
      <c r="AF3" s="288"/>
      <c r="AG3" s="288"/>
      <c r="AH3" s="288"/>
      <c r="AI3" s="289"/>
      <c r="AL3" s="287"/>
      <c r="AM3" s="288"/>
      <c r="AN3" s="288"/>
      <c r="AO3" s="288"/>
      <c r="AP3" s="288"/>
      <c r="AQ3" s="288"/>
      <c r="AR3" s="288"/>
      <c r="AS3" s="288"/>
      <c r="AT3" s="289"/>
      <c r="AW3" s="287"/>
      <c r="AX3" s="288"/>
      <c r="AY3" s="288"/>
      <c r="AZ3" s="288"/>
      <c r="BA3" s="288"/>
      <c r="BB3" s="288"/>
      <c r="BC3" s="288"/>
      <c r="BD3" s="289"/>
      <c r="BG3" s="287"/>
      <c r="BH3" s="288"/>
      <c r="BI3" s="288"/>
      <c r="BJ3" s="288"/>
      <c r="BK3" s="288"/>
      <c r="BL3" s="288"/>
      <c r="BM3" s="288"/>
      <c r="BN3" s="289"/>
    </row>
    <row r="4" spans="2:66" ht="15" customHeight="1" thickBot="1" x14ac:dyDescent="0.3">
      <c r="B4" s="27"/>
      <c r="C4" s="19"/>
      <c r="D4" s="19"/>
      <c r="E4" s="250" t="s">
        <v>84</v>
      </c>
      <c r="F4" s="215"/>
      <c r="G4" s="215"/>
      <c r="H4" s="28"/>
      <c r="K4" s="290"/>
      <c r="L4" s="291"/>
      <c r="M4" s="291"/>
      <c r="N4" s="291"/>
      <c r="O4" s="291"/>
      <c r="P4" s="291"/>
      <c r="Q4" s="292"/>
      <c r="T4" s="290"/>
      <c r="U4" s="291"/>
      <c r="V4" s="291"/>
      <c r="W4" s="291"/>
      <c r="X4" s="291"/>
      <c r="Y4" s="291"/>
      <c r="Z4" s="292"/>
      <c r="AC4" s="290"/>
      <c r="AD4" s="291"/>
      <c r="AE4" s="291"/>
      <c r="AF4" s="291"/>
      <c r="AG4" s="291"/>
      <c r="AH4" s="291"/>
      <c r="AI4" s="292"/>
      <c r="AL4" s="290"/>
      <c r="AM4" s="291"/>
      <c r="AN4" s="291"/>
      <c r="AO4" s="291"/>
      <c r="AP4" s="291"/>
      <c r="AQ4" s="291"/>
      <c r="AR4" s="291"/>
      <c r="AS4" s="291"/>
      <c r="AT4" s="292"/>
      <c r="AW4" s="290"/>
      <c r="AX4" s="291"/>
      <c r="AY4" s="291"/>
      <c r="AZ4" s="291"/>
      <c r="BA4" s="291"/>
      <c r="BB4" s="291"/>
      <c r="BC4" s="291"/>
      <c r="BD4" s="292"/>
      <c r="BG4" s="290"/>
      <c r="BH4" s="291"/>
      <c r="BI4" s="291"/>
      <c r="BJ4" s="291"/>
      <c r="BK4" s="291"/>
      <c r="BL4" s="291"/>
      <c r="BM4" s="291"/>
      <c r="BN4" s="292"/>
    </row>
    <row r="5" spans="2:66" ht="15" customHeight="1" x14ac:dyDescent="0.25">
      <c r="B5" s="27"/>
      <c r="C5" s="19"/>
      <c r="D5" s="19"/>
      <c r="E5" s="250" t="s">
        <v>44</v>
      </c>
      <c r="F5" s="215"/>
      <c r="G5" s="215"/>
      <c r="H5" s="28"/>
    </row>
    <row r="6" spans="2:66" ht="15" customHeight="1" x14ac:dyDescent="0.25">
      <c r="B6" s="27"/>
      <c r="C6" s="19"/>
      <c r="D6" s="19"/>
      <c r="E6" s="250" t="s">
        <v>45</v>
      </c>
      <c r="F6" s="226"/>
      <c r="G6" s="226"/>
      <c r="H6" s="28"/>
      <c r="K6" s="1" t="s">
        <v>204</v>
      </c>
      <c r="M6" s="4" t="str">
        <f>IF(ISBLANK('Données à saisir'!$B6),"",('Données à saisir'!$B6))</f>
        <v>Ecole Montessori</v>
      </c>
      <c r="T6" s="1" t="s">
        <v>204</v>
      </c>
      <c r="V6" s="4" t="str">
        <f>IF(ISBLANK('Données à saisir'!$B6),"",('Données à saisir'!$B6))</f>
        <v>Ecole Montessori</v>
      </c>
      <c r="AC6" s="1" t="s">
        <v>204</v>
      </c>
      <c r="AE6" s="4" t="str">
        <f>IF(ISBLANK('Données à saisir'!$B6),"",('Données à saisir'!$B6))</f>
        <v>Ecole Montessori</v>
      </c>
      <c r="AL6" s="1" t="s">
        <v>204</v>
      </c>
      <c r="AN6" s="4" t="str">
        <f>IF(ISBLANK('Données à saisir'!$B6),"",('Données à saisir'!$B6))</f>
        <v>Ecole Montessori</v>
      </c>
      <c r="AW6" s="1" t="s">
        <v>204</v>
      </c>
      <c r="AY6" s="4" t="str">
        <f>IF(ISBLANK('Données à saisir'!$B6),"",('Données à saisir'!$B6))</f>
        <v>Ecole Montessori</v>
      </c>
      <c r="BD6" s="162" t="s">
        <v>126</v>
      </c>
      <c r="BG6" s="1" t="s">
        <v>204</v>
      </c>
      <c r="BI6" s="4" t="str">
        <f>IF(ISBLANK('Données à saisir'!$B6),"",('Données à saisir'!$B6))</f>
        <v>Ecole Montessori</v>
      </c>
      <c r="BN6" s="162" t="s">
        <v>126</v>
      </c>
    </row>
    <row r="7" spans="2:66" ht="15" customHeight="1" x14ac:dyDescent="0.25">
      <c r="B7" s="27"/>
      <c r="C7" s="19"/>
      <c r="D7" s="19"/>
      <c r="E7" s="226"/>
      <c r="F7" s="226"/>
      <c r="G7" s="226"/>
      <c r="H7" s="28"/>
      <c r="K7" s="1"/>
      <c r="M7" s="4"/>
      <c r="T7" s="1"/>
      <c r="V7" s="4"/>
      <c r="AC7" s="1"/>
      <c r="AE7" s="4"/>
      <c r="AL7" s="1"/>
      <c r="AN7" s="4"/>
      <c r="AW7" s="1"/>
      <c r="AY7" s="4"/>
      <c r="AZ7"/>
      <c r="BG7" s="1"/>
      <c r="BI7" s="4"/>
    </row>
    <row r="8" spans="2:66" ht="15" customHeight="1" thickBot="1" x14ac:dyDescent="0.3">
      <c r="B8" s="29"/>
      <c r="C8" s="30"/>
      <c r="D8" s="30"/>
      <c r="E8" s="93"/>
      <c r="F8" s="30"/>
      <c r="G8" s="30"/>
      <c r="H8" s="201"/>
      <c r="T8" s="1"/>
      <c r="AG8" s="295" t="s">
        <v>28</v>
      </c>
      <c r="AH8" s="299" t="s">
        <v>29</v>
      </c>
      <c r="AI8" s="307" t="s">
        <v>30</v>
      </c>
    </row>
    <row r="9" spans="2:66" ht="15" customHeight="1" thickTop="1" x14ac:dyDescent="0.25">
      <c r="K9" s="313" t="s">
        <v>86</v>
      </c>
      <c r="L9" s="314"/>
      <c r="M9" s="314"/>
      <c r="N9" s="314"/>
      <c r="O9" s="314"/>
      <c r="P9" s="314"/>
      <c r="Q9" s="317" t="s">
        <v>51</v>
      </c>
      <c r="U9" s="1"/>
      <c r="AC9" s="54"/>
      <c r="AG9" s="296"/>
      <c r="AH9" s="300"/>
      <c r="AI9" s="312"/>
    </row>
    <row r="10" spans="2:66" ht="15" customHeight="1" x14ac:dyDescent="0.25">
      <c r="K10" s="315"/>
      <c r="L10" s="316"/>
      <c r="M10" s="316"/>
      <c r="N10" s="316"/>
      <c r="O10" s="316"/>
      <c r="P10" s="316"/>
      <c r="Q10" s="318"/>
      <c r="U10" s="1"/>
      <c r="AC10" s="55" t="s">
        <v>184</v>
      </c>
      <c r="AD10" s="56"/>
      <c r="AE10" s="56"/>
      <c r="AF10" s="56"/>
      <c r="AG10" s="62">
        <f>SUM(AG11:AG15)</f>
        <v>113700</v>
      </c>
      <c r="AH10" s="62">
        <f>SUM(AH11:AH15)</f>
        <v>119385</v>
      </c>
      <c r="AI10" s="202">
        <f>SUM(AI11:AI15)</f>
        <v>125354.25</v>
      </c>
    </row>
    <row r="11" spans="2:66" ht="15" customHeight="1" thickBot="1" x14ac:dyDescent="0.35">
      <c r="K11" s="34"/>
      <c r="L11" s="35"/>
      <c r="M11" s="35"/>
      <c r="N11" s="35"/>
      <c r="O11" s="35"/>
      <c r="P11" s="35"/>
      <c r="Q11" s="41"/>
      <c r="X11" s="85" t="s">
        <v>28</v>
      </c>
      <c r="Y11" s="87" t="s">
        <v>29</v>
      </c>
      <c r="Z11" s="83" t="s">
        <v>30</v>
      </c>
      <c r="AC11" s="49" t="s">
        <v>190</v>
      </c>
      <c r="AD11" s="48"/>
      <c r="AE11" s="48"/>
      <c r="AF11" s="48"/>
      <c r="AG11" s="64">
        <f>'Données à saisir'!C102</f>
        <v>500</v>
      </c>
      <c r="AH11" s="64">
        <f>AG11+AG11*'Données à saisir'!C104</f>
        <v>525</v>
      </c>
      <c r="AI11" s="58">
        <f>AH11+AH11*'Données à saisir'!C105</f>
        <v>551.25</v>
      </c>
      <c r="AO11" s="295" t="s">
        <v>28</v>
      </c>
      <c r="AP11" s="299" t="s">
        <v>108</v>
      </c>
      <c r="AQ11" s="299" t="s">
        <v>29</v>
      </c>
      <c r="AR11" s="299" t="s">
        <v>108</v>
      </c>
      <c r="AS11" s="299" t="s">
        <v>30</v>
      </c>
      <c r="AT11" s="307" t="s">
        <v>108</v>
      </c>
      <c r="AW11" s="180" t="s">
        <v>148</v>
      </c>
    </row>
    <row r="12" spans="2:66" ht="15" customHeight="1" thickTop="1" thickBot="1" x14ac:dyDescent="0.3">
      <c r="B12" s="24"/>
      <c r="C12" s="25"/>
      <c r="D12" s="25"/>
      <c r="E12" s="25"/>
      <c r="F12" s="25"/>
      <c r="G12" s="25"/>
      <c r="H12" s="26"/>
      <c r="K12" s="39" t="s">
        <v>50</v>
      </c>
      <c r="L12" s="19"/>
      <c r="M12" s="19"/>
      <c r="N12" s="19"/>
      <c r="O12" s="19"/>
      <c r="P12" s="19"/>
      <c r="Q12" s="42">
        <f>SUM(Q13:Q19)</f>
        <v>3600</v>
      </c>
      <c r="T12" s="54"/>
      <c r="X12" s="86"/>
      <c r="Y12" s="88"/>
      <c r="Z12" s="84"/>
      <c r="AC12" s="49" t="s">
        <v>191</v>
      </c>
      <c r="AD12" s="48"/>
      <c r="AE12" s="48"/>
      <c r="AF12" s="48"/>
      <c r="AG12" s="64">
        <f>'Données à saisir'!D102</f>
        <v>110000</v>
      </c>
      <c r="AH12" s="64">
        <f>AG12+AG12*'Données à saisir'!D104</f>
        <v>115500</v>
      </c>
      <c r="AI12" s="58">
        <f>AH12+AH12*'Données à saisir'!D105</f>
        <v>121275</v>
      </c>
      <c r="AL12" s="54"/>
      <c r="AO12" s="303"/>
      <c r="AP12" s="300"/>
      <c r="AQ12" s="304"/>
      <c r="AR12" s="300"/>
      <c r="AS12" s="304"/>
      <c r="AT12" s="308"/>
    </row>
    <row r="13" spans="2:66" ht="15" customHeight="1" x14ac:dyDescent="0.25">
      <c r="B13" s="27"/>
      <c r="C13" s="19"/>
      <c r="D13" s="19"/>
      <c r="E13" s="19"/>
      <c r="F13" s="19"/>
      <c r="G13" s="19"/>
      <c r="H13" s="28"/>
      <c r="K13" s="44" t="str">
        <f>'Données à saisir'!A14</f>
        <v>Frais création association</v>
      </c>
      <c r="L13" s="19"/>
      <c r="M13" s="19"/>
      <c r="N13" s="19"/>
      <c r="O13" s="19"/>
      <c r="P13" s="19"/>
      <c r="Q13" s="43" t="str">
        <f>IF(ISBLANK('Données à saisir'!B14),"",'Données à saisir'!B14)</f>
        <v/>
      </c>
      <c r="T13" s="55" t="s">
        <v>181</v>
      </c>
      <c r="U13" s="56"/>
      <c r="V13" s="56"/>
      <c r="W13" s="56"/>
      <c r="X13" s="62">
        <f>'Données à saisir'!B117</f>
        <v>12000</v>
      </c>
      <c r="Y13" s="62">
        <f>'Données à saisir'!C117</f>
        <v>14000</v>
      </c>
      <c r="Z13" s="63">
        <f>'Données à saisir'!D117</f>
        <v>16000</v>
      </c>
      <c r="AC13" s="49" t="s">
        <v>192</v>
      </c>
      <c r="AD13" s="48"/>
      <c r="AE13" s="48"/>
      <c r="AF13" s="48"/>
      <c r="AG13" s="64">
        <f>'Données à saisir'!E102</f>
        <v>1200</v>
      </c>
      <c r="AH13" s="64">
        <f>AG13+AG13*'Données à saisir'!E104</f>
        <v>1260</v>
      </c>
      <c r="AI13" s="58">
        <f>AH13+AH13*'Données à saisir'!E105</f>
        <v>1323</v>
      </c>
      <c r="AL13" s="118" t="s">
        <v>184</v>
      </c>
      <c r="AM13" s="117"/>
      <c r="AN13" s="117"/>
      <c r="AO13" s="119">
        <f>AG10</f>
        <v>113700</v>
      </c>
      <c r="AP13" s="140">
        <v>1</v>
      </c>
      <c r="AQ13" s="119">
        <f>AH10</f>
        <v>119385</v>
      </c>
      <c r="AR13" s="141">
        <v>1</v>
      </c>
      <c r="AS13" s="119">
        <f>AI10</f>
        <v>125354.25</v>
      </c>
      <c r="AT13" s="142">
        <v>1</v>
      </c>
      <c r="AZ13" s="297" t="s">
        <v>122</v>
      </c>
      <c r="BA13" s="299" t="s">
        <v>123</v>
      </c>
      <c r="BB13" s="299" t="s">
        <v>124</v>
      </c>
      <c r="BC13" s="299" t="s">
        <v>127</v>
      </c>
      <c r="BD13" s="301" t="s">
        <v>129</v>
      </c>
      <c r="BG13" s="297" t="s">
        <v>130</v>
      </c>
      <c r="BH13" s="299" t="s">
        <v>131</v>
      </c>
      <c r="BI13" s="299" t="s">
        <v>132</v>
      </c>
      <c r="BJ13" s="299" t="s">
        <v>133</v>
      </c>
      <c r="BK13" s="299" t="s">
        <v>134</v>
      </c>
      <c r="BL13" s="299" t="s">
        <v>135</v>
      </c>
      <c r="BM13" s="293" t="s">
        <v>136</v>
      </c>
      <c r="BN13" s="282" t="s">
        <v>33</v>
      </c>
    </row>
    <row r="14" spans="2:66" ht="15" customHeight="1" x14ac:dyDescent="0.25">
      <c r="B14" s="309" t="s">
        <v>156</v>
      </c>
      <c r="C14" s="310"/>
      <c r="D14" s="310"/>
      <c r="E14" s="310"/>
      <c r="F14" s="310"/>
      <c r="G14" s="310"/>
      <c r="H14" s="311"/>
      <c r="K14" s="44" t="str">
        <f>'Données à saisir'!A15</f>
        <v>Frais d’ouverture de compteurs</v>
      </c>
      <c r="L14" s="19"/>
      <c r="M14" s="19"/>
      <c r="N14" s="19"/>
      <c r="O14" s="19"/>
      <c r="P14" s="19"/>
      <c r="Q14" s="43">
        <f>IF(ISBLANK('Données à saisir'!B15),"",'Données à saisir'!B15)</f>
        <v>400</v>
      </c>
      <c r="T14" s="49"/>
      <c r="U14" s="91" t="s">
        <v>91</v>
      </c>
      <c r="V14" s="48"/>
      <c r="W14" s="48"/>
      <c r="X14" s="64"/>
      <c r="Y14" s="99">
        <f>IF(ISERROR((Y13-X13)/X13),"",(Y13-X13)/X13)</f>
        <v>0.16666666666666666</v>
      </c>
      <c r="Z14" s="100">
        <f>IF(ISERROR((Z13-Y13)/Y13),"",(Z13-Y13)/Y13)</f>
        <v>0.14285714285714285</v>
      </c>
      <c r="AC14" s="49" t="s">
        <v>193</v>
      </c>
      <c r="AD14" s="48"/>
      <c r="AE14" s="48"/>
      <c r="AF14" s="48"/>
      <c r="AG14" s="64">
        <f>'Données à saisir'!F102</f>
        <v>1500</v>
      </c>
      <c r="AH14" s="64">
        <f>AG14+AG14*'Données à saisir'!F104</f>
        <v>1575</v>
      </c>
      <c r="AI14" s="58">
        <f>AH14+AH14*'Données à saisir'!F105</f>
        <v>1653.75</v>
      </c>
      <c r="AL14" s="47" t="s">
        <v>206</v>
      </c>
      <c r="AM14" s="48"/>
      <c r="AN14" s="48"/>
      <c r="AO14" s="101">
        <f>AG10</f>
        <v>113700</v>
      </c>
      <c r="AP14" s="143">
        <v>1</v>
      </c>
      <c r="AQ14" s="101">
        <f>AH10</f>
        <v>119385</v>
      </c>
      <c r="AR14" s="144">
        <v>1</v>
      </c>
      <c r="AS14" s="101">
        <f>AI10</f>
        <v>125354.25</v>
      </c>
      <c r="AT14" s="145">
        <v>1</v>
      </c>
      <c r="AW14" s="54"/>
      <c r="AZ14" s="298"/>
      <c r="BA14" s="300"/>
      <c r="BB14" s="300"/>
      <c r="BC14" s="300"/>
      <c r="BD14" s="302"/>
      <c r="BG14" s="298"/>
      <c r="BH14" s="300"/>
      <c r="BI14" s="300"/>
      <c r="BJ14" s="300"/>
      <c r="BK14" s="300"/>
      <c r="BL14" s="300"/>
      <c r="BM14" s="294"/>
      <c r="BN14" s="283"/>
    </row>
    <row r="15" spans="2:66" ht="15" customHeight="1" x14ac:dyDescent="0.25">
      <c r="B15" s="309"/>
      <c r="C15" s="310"/>
      <c r="D15" s="310"/>
      <c r="E15" s="310"/>
      <c r="F15" s="310"/>
      <c r="G15" s="310"/>
      <c r="H15" s="311"/>
      <c r="K15" s="44" t="str">
        <f>'Données à saisir'!A16</f>
        <v>Logiciels, formations</v>
      </c>
      <c r="L15" s="19"/>
      <c r="M15" s="19"/>
      <c r="N15" s="19"/>
      <c r="O15" s="19"/>
      <c r="P15" s="19"/>
      <c r="Q15" s="43">
        <f>IF(ISBLANK('Données à saisir'!B16),"",'Données à saisir'!B16)</f>
        <v>2000</v>
      </c>
      <c r="T15" s="38" t="s">
        <v>195</v>
      </c>
      <c r="U15" s="48"/>
      <c r="V15" s="48"/>
      <c r="W15" s="48"/>
      <c r="X15" s="60">
        <f>AG42</f>
        <v>8880</v>
      </c>
      <c r="Y15" s="60">
        <f>AH42</f>
        <v>10360</v>
      </c>
      <c r="Z15" s="57">
        <f>AI42</f>
        <v>11840</v>
      </c>
      <c r="AC15" s="49" t="s">
        <v>194</v>
      </c>
      <c r="AD15" s="19"/>
      <c r="AE15" s="19"/>
      <c r="AF15" s="19"/>
      <c r="AG15" s="64">
        <f>'Données à saisir'!G102</f>
        <v>500</v>
      </c>
      <c r="AH15" s="64">
        <f>AG15+AG15*'Données à saisir'!G104</f>
        <v>525</v>
      </c>
      <c r="AI15" s="58">
        <f>AH15+AH15*'Données à saisir'!G105</f>
        <v>551.25</v>
      </c>
      <c r="AL15" s="72" t="s">
        <v>56</v>
      </c>
      <c r="AM15" s="48"/>
      <c r="AN15" s="48"/>
      <c r="AO15" s="101">
        <f>AG16</f>
        <v>0</v>
      </c>
      <c r="AP15" s="146">
        <f>AO15/$AO$14</f>
        <v>0</v>
      </c>
      <c r="AQ15" s="101">
        <f>AH16</f>
        <v>0</v>
      </c>
      <c r="AR15" s="146">
        <f>AQ15/$AQ$14</f>
        <v>0</v>
      </c>
      <c r="AS15" s="101">
        <f>AI16</f>
        <v>0</v>
      </c>
      <c r="AT15" s="147">
        <f>AS15/$AS$14</f>
        <v>0</v>
      </c>
      <c r="AW15" s="161" t="s">
        <v>207</v>
      </c>
      <c r="AX15" s="56"/>
      <c r="AY15" s="56"/>
      <c r="AZ15" s="160">
        <f>SUM(Q35)</f>
        <v>16000</v>
      </c>
      <c r="BA15" s="160"/>
      <c r="BB15" s="160"/>
      <c r="BC15" s="160"/>
      <c r="BD15" s="163"/>
      <c r="BG15" s="166"/>
      <c r="BH15" s="160"/>
      <c r="BI15" s="160"/>
      <c r="BJ15" s="160"/>
      <c r="BK15" s="160"/>
      <c r="BL15" s="160"/>
      <c r="BM15" s="169"/>
      <c r="BN15" s="211">
        <f t="shared" ref="BN15:BN18" si="0">SUM(AZ15:BM15)</f>
        <v>16000</v>
      </c>
    </row>
    <row r="16" spans="2:66" ht="15" customHeight="1" x14ac:dyDescent="0.25">
      <c r="B16" s="309"/>
      <c r="C16" s="310"/>
      <c r="D16" s="310"/>
      <c r="E16" s="310"/>
      <c r="F16" s="310"/>
      <c r="G16" s="310"/>
      <c r="H16" s="311"/>
      <c r="K16" s="44" t="str">
        <f>'Données à saisir'!A17</f>
        <v>Frais juridiques</v>
      </c>
      <c r="L16" s="19"/>
      <c r="M16" s="19"/>
      <c r="N16" s="19"/>
      <c r="O16" s="19"/>
      <c r="P16" s="19"/>
      <c r="Q16" s="43" t="str">
        <f>IF(ISBLANK('Données à saisir'!B17),"",'Données à saisir'!B17)</f>
        <v/>
      </c>
      <c r="T16" s="38"/>
      <c r="U16" s="48"/>
      <c r="V16" s="48"/>
      <c r="W16" s="48"/>
      <c r="X16" s="60"/>
      <c r="Y16" s="60"/>
      <c r="Z16" s="57"/>
      <c r="AC16" s="243" t="s">
        <v>56</v>
      </c>
      <c r="AD16" s="48"/>
      <c r="AE16" s="48"/>
      <c r="AF16" s="48"/>
      <c r="AG16" s="60">
        <f>'Données à saisir'!$D$110*'Plan financier à imprimer'!AG11</f>
        <v>0</v>
      </c>
      <c r="AH16" s="60">
        <f>'Données à saisir'!$D$110*'Plan financier à imprimer'!AH11</f>
        <v>0</v>
      </c>
      <c r="AI16" s="57">
        <f>'Données à saisir'!$D$110*'Plan financier à imprimer'!AI11</f>
        <v>0</v>
      </c>
      <c r="AL16" s="65" t="s">
        <v>100</v>
      </c>
      <c r="AM16" s="66"/>
      <c r="AN16" s="66"/>
      <c r="AO16" s="67">
        <f>AO14-AO15</f>
        <v>113700</v>
      </c>
      <c r="AP16" s="148">
        <f t="shared" ref="AP16:AP26" si="1">AO16/$AO$14</f>
        <v>1</v>
      </c>
      <c r="AQ16" s="67">
        <f t="shared" ref="AQ16:AS16" si="2">AQ14-AQ15</f>
        <v>119385</v>
      </c>
      <c r="AR16" s="149">
        <f t="shared" ref="AR16:AR26" si="3">AQ16/$AQ$14</f>
        <v>1</v>
      </c>
      <c r="AS16" s="67">
        <f t="shared" si="2"/>
        <v>125354.25</v>
      </c>
      <c r="AT16" s="151">
        <f t="shared" ref="AT16:AT26" si="4">AS16/$AS$14</f>
        <v>1</v>
      </c>
      <c r="AW16" s="124" t="s">
        <v>118</v>
      </c>
      <c r="AX16" s="48"/>
      <c r="AY16" s="48"/>
      <c r="AZ16" s="101">
        <f>Q39</f>
        <v>49100</v>
      </c>
      <c r="BA16" s="101"/>
      <c r="BB16" s="101"/>
      <c r="BC16" s="101"/>
      <c r="BD16" s="120"/>
      <c r="BG16" s="167"/>
      <c r="BH16" s="101"/>
      <c r="BI16" s="101"/>
      <c r="BJ16" s="101"/>
      <c r="BK16" s="101"/>
      <c r="BL16" s="101"/>
      <c r="BM16" s="133"/>
      <c r="BN16" s="171">
        <f t="shared" si="0"/>
        <v>49100</v>
      </c>
    </row>
    <row r="17" spans="2:66" ht="15" customHeight="1" x14ac:dyDescent="0.25">
      <c r="B17" s="309"/>
      <c r="C17" s="310"/>
      <c r="D17" s="310"/>
      <c r="E17" s="310"/>
      <c r="F17" s="310"/>
      <c r="G17" s="310"/>
      <c r="H17" s="311"/>
      <c r="K17" s="44" t="str">
        <f>'Données à saisir'!A18</f>
        <v>Caution ou dépôt de garantie</v>
      </c>
      <c r="L17" s="19"/>
      <c r="M17" s="19"/>
      <c r="N17" s="19"/>
      <c r="O17" s="19"/>
      <c r="P17" s="19"/>
      <c r="Q17" s="43">
        <f>IF(ISBLANK('Données à saisir'!B18),"",'Données à saisir'!B18)</f>
        <v>800</v>
      </c>
      <c r="T17" s="55" t="s">
        <v>92</v>
      </c>
      <c r="U17" s="56"/>
      <c r="V17" s="56"/>
      <c r="W17" s="56"/>
      <c r="X17" s="62">
        <f>'Données à saisir'!B116</f>
        <v>28800</v>
      </c>
      <c r="Y17" s="62">
        <f>'Données à saisir'!C116</f>
        <v>30000</v>
      </c>
      <c r="Z17" s="63">
        <f>'Données à saisir'!D116</f>
        <v>30000</v>
      </c>
      <c r="AC17" s="103"/>
      <c r="AD17" s="37"/>
      <c r="AE17" s="37"/>
      <c r="AF17" s="37"/>
      <c r="AG17" s="220"/>
      <c r="AH17" s="220"/>
      <c r="AI17" s="104"/>
      <c r="AL17" s="72" t="s">
        <v>57</v>
      </c>
      <c r="AM17" s="48"/>
      <c r="AN17" s="48"/>
      <c r="AO17" s="101">
        <f>AG19</f>
        <v>26260</v>
      </c>
      <c r="AP17" s="146">
        <f t="shared" si="1"/>
        <v>0.23095866314863675</v>
      </c>
      <c r="AQ17" s="101">
        <f>AH19</f>
        <v>27770</v>
      </c>
      <c r="AR17" s="150">
        <f t="shared" si="3"/>
        <v>0.23260878669849647</v>
      </c>
      <c r="AS17" s="101">
        <f>AI19</f>
        <v>29140</v>
      </c>
      <c r="AT17" s="147">
        <f t="shared" si="4"/>
        <v>0.23246120494518535</v>
      </c>
      <c r="AW17" s="124" t="s">
        <v>119</v>
      </c>
      <c r="AX17" s="48"/>
      <c r="AY17" s="48"/>
      <c r="AZ17" s="101">
        <f>SUM(Q43:Q44)</f>
        <v>5000</v>
      </c>
      <c r="BA17" s="101"/>
      <c r="BB17" s="101"/>
      <c r="BC17" s="101"/>
      <c r="BD17" s="120"/>
      <c r="BG17" s="167"/>
      <c r="BH17" s="101"/>
      <c r="BI17" s="101"/>
      <c r="BJ17" s="101"/>
      <c r="BK17" s="101"/>
      <c r="BL17" s="101"/>
      <c r="BM17" s="133"/>
      <c r="BN17" s="171">
        <f t="shared" si="0"/>
        <v>5000</v>
      </c>
    </row>
    <row r="18" spans="2:66" ht="15" customHeight="1" x14ac:dyDescent="0.25">
      <c r="B18" s="309"/>
      <c r="C18" s="310"/>
      <c r="D18" s="310"/>
      <c r="E18" s="310"/>
      <c r="F18" s="310"/>
      <c r="G18" s="310"/>
      <c r="H18" s="311"/>
      <c r="K18" s="44" t="str">
        <f>'Données à saisir'!A19</f>
        <v>Frais de dossier</v>
      </c>
      <c r="L18" s="19"/>
      <c r="M18" s="19"/>
      <c r="N18" s="19"/>
      <c r="O18" s="19"/>
      <c r="P18" s="19"/>
      <c r="Q18" s="43">
        <f>IF(ISBLANK('Données à saisir'!B19),"",'Données à saisir'!B19)</f>
        <v>400</v>
      </c>
      <c r="T18" s="49"/>
      <c r="U18" s="91" t="s">
        <v>91</v>
      </c>
      <c r="V18" s="48"/>
      <c r="W18" s="48"/>
      <c r="X18" s="64"/>
      <c r="Y18" s="99">
        <f>IF(ISERROR((Y17-X17)/X17),"",(Y17-X17)/X17)</f>
        <v>4.1666666666666664E-2</v>
      </c>
      <c r="Z18" s="100">
        <f>IF(ISERROR((Z17-Y17)/Y17),"",(Z17-Y17)/Y17)</f>
        <v>0</v>
      </c>
      <c r="AC18" s="65" t="s">
        <v>80</v>
      </c>
      <c r="AD18" s="66"/>
      <c r="AE18" s="66"/>
      <c r="AF18" s="66"/>
      <c r="AG18" s="67">
        <f>AG10-AG16</f>
        <v>113700</v>
      </c>
      <c r="AH18" s="67">
        <f t="shared" ref="AH18:AI18" si="5">AH10-AH16</f>
        <v>119385</v>
      </c>
      <c r="AI18" s="68">
        <f t="shared" si="5"/>
        <v>125354.25</v>
      </c>
      <c r="AL18" s="65" t="s">
        <v>82</v>
      </c>
      <c r="AM18" s="66"/>
      <c r="AN18" s="66"/>
      <c r="AO18" s="67">
        <f>AO16-AO17</f>
        <v>87440</v>
      </c>
      <c r="AP18" s="148">
        <f t="shared" si="1"/>
        <v>0.76904133685136322</v>
      </c>
      <c r="AQ18" s="67">
        <f t="shared" ref="AQ18:AS18" si="6">AQ16-AQ17</f>
        <v>91615</v>
      </c>
      <c r="AR18" s="149">
        <f t="shared" si="3"/>
        <v>0.76739121330150351</v>
      </c>
      <c r="AS18" s="67">
        <f t="shared" si="6"/>
        <v>96214.25</v>
      </c>
      <c r="AT18" s="151">
        <f t="shared" si="4"/>
        <v>0.7675387950548147</v>
      </c>
      <c r="AW18" s="124" t="s">
        <v>120</v>
      </c>
      <c r="AX18" s="48"/>
      <c r="AY18" s="48"/>
      <c r="AZ18" s="101" t="str">
        <f>Q45</f>
        <v/>
      </c>
      <c r="BA18" s="101"/>
      <c r="BB18" s="101"/>
      <c r="BC18" s="101"/>
      <c r="BD18" s="120"/>
      <c r="BG18" s="167"/>
      <c r="BH18" s="101"/>
      <c r="BI18" s="101"/>
      <c r="BJ18" s="101"/>
      <c r="BK18" s="101"/>
      <c r="BL18" s="101"/>
      <c r="BM18" s="133"/>
      <c r="BN18" s="171">
        <f t="shared" si="0"/>
        <v>0</v>
      </c>
    </row>
    <row r="19" spans="2:66" ht="15" customHeight="1" x14ac:dyDescent="0.25">
      <c r="B19" s="309"/>
      <c r="C19" s="310"/>
      <c r="D19" s="310"/>
      <c r="E19" s="310"/>
      <c r="F19" s="310"/>
      <c r="G19" s="310"/>
      <c r="H19" s="311"/>
      <c r="K19" s="44"/>
      <c r="L19" s="19"/>
      <c r="M19" s="19"/>
      <c r="N19" s="19"/>
      <c r="O19" s="19"/>
      <c r="P19" s="19"/>
      <c r="Q19" s="43"/>
      <c r="T19" s="38" t="s">
        <v>93</v>
      </c>
      <c r="U19" s="48"/>
      <c r="V19" s="48"/>
      <c r="W19" s="48"/>
      <c r="X19" s="60">
        <f>'Données à saisir'!B125</f>
        <v>21312</v>
      </c>
      <c r="Y19" s="60">
        <f>'Données à saisir'!C125</f>
        <v>22200</v>
      </c>
      <c r="Z19" s="57">
        <f>'Données à saisir'!D125</f>
        <v>22200</v>
      </c>
      <c r="AC19" s="38" t="s">
        <v>81</v>
      </c>
      <c r="AD19" s="48"/>
      <c r="AE19" s="48"/>
      <c r="AF19" s="48"/>
      <c r="AG19" s="60">
        <f>SUM(AG20:AG35)</f>
        <v>26260</v>
      </c>
      <c r="AH19" s="60">
        <f>SUM(AH20:AH35)</f>
        <v>27770</v>
      </c>
      <c r="AI19" s="70">
        <f>SUM(AI20:AI35)</f>
        <v>29140</v>
      </c>
      <c r="AL19" s="47" t="s">
        <v>58</v>
      </c>
      <c r="AM19" s="50"/>
      <c r="AN19" s="50"/>
      <c r="AO19" s="101">
        <f>AG38</f>
        <v>600</v>
      </c>
      <c r="AP19" s="146">
        <f t="shared" si="1"/>
        <v>5.2770448548812663E-3</v>
      </c>
      <c r="AQ19" s="101">
        <f>AH38</f>
        <v>600</v>
      </c>
      <c r="AR19" s="150">
        <f t="shared" si="3"/>
        <v>5.0257570046488252E-3</v>
      </c>
      <c r="AS19" s="101">
        <f>AI38</f>
        <v>600</v>
      </c>
      <c r="AT19" s="147">
        <f t="shared" si="4"/>
        <v>4.7864352425226906E-3</v>
      </c>
      <c r="AW19" s="161" t="s">
        <v>208</v>
      </c>
      <c r="AX19" s="117"/>
      <c r="AY19" s="117"/>
      <c r="AZ19" s="119">
        <f>'Données à saisir'!C90</f>
        <v>0</v>
      </c>
      <c r="BA19" s="119">
        <f>'Données à saisir'!C91</f>
        <v>0</v>
      </c>
      <c r="BB19" s="119">
        <f>'Données à saisir'!C92</f>
        <v>0</v>
      </c>
      <c r="BC19" s="119">
        <f>'Données à saisir'!C93</f>
        <v>0</v>
      </c>
      <c r="BD19" s="175">
        <f>'Données à saisir'!C94</f>
        <v>0</v>
      </c>
      <c r="BG19" s="176">
        <f>'Données à saisir'!C95</f>
        <v>0</v>
      </c>
      <c r="BH19" s="119">
        <f>'Données à saisir'!C96</f>
        <v>0</v>
      </c>
      <c r="BI19" s="119">
        <f>'Données à saisir'!C97</f>
        <v>0</v>
      </c>
      <c r="BJ19" s="119">
        <f>'Données à saisir'!C98</f>
        <v>0</v>
      </c>
      <c r="BK19" s="119">
        <f>'Données à saisir'!C99</f>
        <v>500</v>
      </c>
      <c r="BL19" s="119">
        <f>'Données à saisir'!C100</f>
        <v>0</v>
      </c>
      <c r="BM19" s="177">
        <f>'Données à saisir'!C101</f>
        <v>0</v>
      </c>
      <c r="BN19" s="179">
        <f>SUM(AZ19:BM19)</f>
        <v>500</v>
      </c>
    </row>
    <row r="20" spans="2:66" ht="15" customHeight="1" x14ac:dyDescent="0.25">
      <c r="B20" s="309"/>
      <c r="C20" s="310"/>
      <c r="D20" s="310"/>
      <c r="E20" s="310"/>
      <c r="F20" s="310"/>
      <c r="G20" s="310"/>
      <c r="H20" s="311"/>
      <c r="K20" s="39" t="s">
        <v>47</v>
      </c>
      <c r="L20" s="19"/>
      <c r="M20" s="19"/>
      <c r="N20" s="19"/>
      <c r="O20" s="19"/>
      <c r="P20" s="19"/>
      <c r="Q20" s="42">
        <f>SUM(Q21:Q25)</f>
        <v>60500</v>
      </c>
      <c r="T20" s="103"/>
      <c r="U20" s="37"/>
      <c r="V20" s="37"/>
      <c r="W20" s="37"/>
      <c r="X20" s="61"/>
      <c r="Y20" s="61"/>
      <c r="Z20" s="104"/>
      <c r="AC20" s="44" t="str">
        <f>'Données à saisir'!A64</f>
        <v>Assurances</v>
      </c>
      <c r="AD20" s="48"/>
      <c r="AE20" s="48"/>
      <c r="AF20" s="48"/>
      <c r="AG20" s="64">
        <f>IF(ISBLANK('Données à saisir'!B64),0,'Données à saisir'!B64)</f>
        <v>700</v>
      </c>
      <c r="AH20" s="64">
        <f>IF(ISBLANK('Données à saisir'!C64),0,'Données à saisir'!C64)</f>
        <v>720</v>
      </c>
      <c r="AI20" s="58">
        <f>IF(ISBLANK('Données à saisir'!D64),0,'Données à saisir'!D64)</f>
        <v>740</v>
      </c>
      <c r="AL20" s="47" t="s">
        <v>99</v>
      </c>
      <c r="AM20" s="50"/>
      <c r="AN20" s="50"/>
      <c r="AO20" s="101">
        <f>SUM(AG39:AG42)</f>
        <v>70992</v>
      </c>
      <c r="AP20" s="146">
        <f t="shared" si="1"/>
        <v>0.62437994722955148</v>
      </c>
      <c r="AQ20" s="101">
        <f>SUM(AH39:AH42)</f>
        <v>76560</v>
      </c>
      <c r="AR20" s="150">
        <f t="shared" si="3"/>
        <v>0.64128659379319009</v>
      </c>
      <c r="AS20" s="101">
        <f>SUM(AI39:AI42)</f>
        <v>80040</v>
      </c>
      <c r="AT20" s="147">
        <f t="shared" si="4"/>
        <v>0.63851046135252698</v>
      </c>
      <c r="AW20" s="124" t="s">
        <v>125</v>
      </c>
      <c r="AX20" s="48"/>
      <c r="AY20" s="48"/>
      <c r="AZ20" s="101">
        <f>'Données à saisir'!D90</f>
        <v>25000</v>
      </c>
      <c r="BA20" s="101">
        <f>'Données à saisir'!D91</f>
        <v>85000</v>
      </c>
      <c r="BB20" s="101">
        <f>'Données à saisir'!D92</f>
        <v>0</v>
      </c>
      <c r="BC20" s="101">
        <f>'Données à saisir'!D93</f>
        <v>0</v>
      </c>
      <c r="BD20" s="157">
        <f>'Données à saisir'!D94</f>
        <v>0</v>
      </c>
      <c r="BG20" s="167">
        <f>'Données à saisir'!D95</f>
        <v>0</v>
      </c>
      <c r="BH20" s="101">
        <f>'Données à saisir'!D96</f>
        <v>0</v>
      </c>
      <c r="BI20" s="101">
        <f>'Données à saisir'!D97</f>
        <v>0</v>
      </c>
      <c r="BJ20" s="101">
        <f>'Données à saisir'!D98</f>
        <v>0</v>
      </c>
      <c r="BK20" s="101">
        <f>'Données à saisir'!D99</f>
        <v>0</v>
      </c>
      <c r="BL20" s="101">
        <f>'Données à saisir'!D100</f>
        <v>0</v>
      </c>
      <c r="BM20" s="133">
        <f>'Données à saisir'!D101</f>
        <v>0</v>
      </c>
      <c r="BN20" s="171">
        <f t="shared" ref="BN20:BN23" si="7">SUM(AZ20:BM20)</f>
        <v>110000</v>
      </c>
    </row>
    <row r="21" spans="2:66" ht="15" customHeight="1" x14ac:dyDescent="0.25">
      <c r="B21" s="32"/>
      <c r="C21" s="22"/>
      <c r="D21" s="22"/>
      <c r="E21" s="22"/>
      <c r="F21" s="22"/>
      <c r="G21" s="22"/>
      <c r="H21" s="33"/>
      <c r="K21" s="44" t="str">
        <f>'Données à saisir'!A20</f>
        <v>Eléments de communication</v>
      </c>
      <c r="L21" s="19"/>
      <c r="M21" s="19"/>
      <c r="N21" s="19"/>
      <c r="O21" s="19"/>
      <c r="P21" s="19"/>
      <c r="Q21" s="43">
        <f>IF(ISBLANK('Données à saisir'!B20),"",'Données à saisir'!B20)</f>
        <v>1500</v>
      </c>
      <c r="AC21" s="44" t="str">
        <f>'Données à saisir'!A65</f>
        <v>Téléphone, internet</v>
      </c>
      <c r="AD21" s="48"/>
      <c r="AE21" s="48"/>
      <c r="AF21" s="48"/>
      <c r="AG21" s="64">
        <f>IF(ISBLANK('Données à saisir'!B65),0,'Données à saisir'!B65)</f>
        <v>960</v>
      </c>
      <c r="AH21" s="64">
        <f>IF(ISBLANK('Données à saisir'!C65),0,'Données à saisir'!C65)</f>
        <v>1000</v>
      </c>
      <c r="AI21" s="58">
        <f>IF(ISBLANK('Données à saisir'!D65),0,'Données à saisir'!D65)</f>
        <v>1000</v>
      </c>
      <c r="AL21" s="65" t="s">
        <v>201</v>
      </c>
      <c r="AM21" s="66"/>
      <c r="AN21" s="66"/>
      <c r="AO21" s="67">
        <f>AO18-AO19-AO20</f>
        <v>15848</v>
      </c>
      <c r="AP21" s="148">
        <f t="shared" si="1"/>
        <v>0.13938434476693051</v>
      </c>
      <c r="AQ21" s="67">
        <f t="shared" ref="AQ21:AS21" si="8">AQ18-AQ19-AQ20</f>
        <v>14455</v>
      </c>
      <c r="AR21" s="149">
        <f t="shared" si="3"/>
        <v>0.12107886250366462</v>
      </c>
      <c r="AS21" s="67">
        <f t="shared" si="8"/>
        <v>15574.25</v>
      </c>
      <c r="AT21" s="151">
        <f t="shared" si="4"/>
        <v>0.12424189845976502</v>
      </c>
      <c r="AW21" s="124" t="s">
        <v>192</v>
      </c>
      <c r="AX21" s="48"/>
      <c r="AY21" s="48"/>
      <c r="AZ21" s="101">
        <f>'Données à saisir'!$E90</f>
        <v>100</v>
      </c>
      <c r="BA21" s="101">
        <f>'Données à saisir'!$E91</f>
        <v>100</v>
      </c>
      <c r="BB21" s="101">
        <f>'Données à saisir'!$E92</f>
        <v>100</v>
      </c>
      <c r="BC21" s="101">
        <f>'Données à saisir'!$E93</f>
        <v>100</v>
      </c>
      <c r="BD21" s="157">
        <f>'Données à saisir'!$E94</f>
        <v>100</v>
      </c>
      <c r="BG21" s="167">
        <f>'Données à saisir'!$E95</f>
        <v>100</v>
      </c>
      <c r="BH21" s="101">
        <f>'Données à saisir'!$E96</f>
        <v>100</v>
      </c>
      <c r="BI21" s="101">
        <f>'Données à saisir'!$E97</f>
        <v>100</v>
      </c>
      <c r="BJ21" s="101">
        <f>'Données à saisir'!$E98</f>
        <v>100</v>
      </c>
      <c r="BK21" s="101">
        <f>'Données à saisir'!$E99</f>
        <v>100</v>
      </c>
      <c r="BL21" s="101">
        <f>'Données à saisir'!$E100</f>
        <v>100</v>
      </c>
      <c r="BM21" s="133">
        <f>'Données à saisir'!$E101</f>
        <v>100</v>
      </c>
      <c r="BN21" s="171">
        <f t="shared" si="7"/>
        <v>1200</v>
      </c>
    </row>
    <row r="22" spans="2:66" ht="15" customHeight="1" x14ac:dyDescent="0.25">
      <c r="B22" s="27"/>
      <c r="C22" s="19"/>
      <c r="D22" s="19"/>
      <c r="E22" s="19"/>
      <c r="F22" s="19"/>
      <c r="G22" s="19"/>
      <c r="H22" s="28"/>
      <c r="K22" s="44" t="str">
        <f>'Données à saisir'!A21</f>
        <v>Achat immobilier</v>
      </c>
      <c r="L22" s="19"/>
      <c r="M22" s="19"/>
      <c r="N22" s="19"/>
      <c r="O22" s="19"/>
      <c r="P22" s="19"/>
      <c r="Q22" s="43" t="str">
        <f>IF(ISBLANK('Données à saisir'!B21),"",'Données à saisir'!B21)</f>
        <v/>
      </c>
      <c r="AC22" s="44" t="str">
        <f>'Données à saisir'!A66</f>
        <v>Autres abonnements</v>
      </c>
      <c r="AD22" s="48"/>
      <c r="AE22" s="48"/>
      <c r="AF22" s="48"/>
      <c r="AG22" s="64">
        <f>IF(ISBLANK('Données à saisir'!B66),0,'Données à saisir'!B66)</f>
        <v>500</v>
      </c>
      <c r="AH22" s="64">
        <f>IF(ISBLANK('Données à saisir'!C66),0,'Données à saisir'!C66)</f>
        <v>550</v>
      </c>
      <c r="AI22" s="58">
        <f>IF(ISBLANK('Données à saisir'!D66),0,'Données à saisir'!D66)</f>
        <v>600</v>
      </c>
      <c r="AL22" s="47" t="s">
        <v>101</v>
      </c>
      <c r="AM22" s="48"/>
      <c r="AN22" s="48"/>
      <c r="AO22" s="101">
        <f>AG45</f>
        <v>12580</v>
      </c>
      <c r="AP22" s="146">
        <f t="shared" si="1"/>
        <v>0.11064204045734388</v>
      </c>
      <c r="AQ22" s="101">
        <f>AH45</f>
        <v>12580</v>
      </c>
      <c r="AR22" s="150">
        <f t="shared" si="3"/>
        <v>0.10537337186413703</v>
      </c>
      <c r="AS22" s="101">
        <f>AI45</f>
        <v>12580</v>
      </c>
      <c r="AT22" s="147">
        <f t="shared" si="4"/>
        <v>0.10035559225155909</v>
      </c>
      <c r="AW22" s="124" t="s">
        <v>193</v>
      </c>
      <c r="AX22" s="48"/>
      <c r="AY22" s="48"/>
      <c r="AZ22" s="101">
        <f>'Données à saisir'!$F90</f>
        <v>0</v>
      </c>
      <c r="BA22" s="101">
        <f>'Données à saisir'!$F91</f>
        <v>1500</v>
      </c>
      <c r="BB22" s="101">
        <f>'Données à saisir'!$F92</f>
        <v>0</v>
      </c>
      <c r="BC22" s="101">
        <f>'Données à saisir'!$F93</f>
        <v>0</v>
      </c>
      <c r="BD22" s="157">
        <f>'Données à saisir'!$F94</f>
        <v>0</v>
      </c>
      <c r="BG22" s="167">
        <f>'Données à saisir'!$F95</f>
        <v>0</v>
      </c>
      <c r="BH22" s="101">
        <f>'Données à saisir'!$F96</f>
        <v>0</v>
      </c>
      <c r="BI22" s="101">
        <f>'Données à saisir'!$F97</f>
        <v>0</v>
      </c>
      <c r="BJ22" s="101">
        <f>'Données à saisir'!$F98</f>
        <v>0</v>
      </c>
      <c r="BK22" s="101">
        <f>'Données à saisir'!$F99</f>
        <v>0</v>
      </c>
      <c r="BL22" s="101">
        <f>'Données à saisir'!$F100</f>
        <v>0</v>
      </c>
      <c r="BM22" s="133">
        <f>'Données à saisir'!$F101</f>
        <v>0</v>
      </c>
      <c r="BN22" s="171">
        <f t="shared" si="7"/>
        <v>1500</v>
      </c>
    </row>
    <row r="23" spans="2:66" ht="15" customHeight="1" x14ac:dyDescent="0.25">
      <c r="B23" s="27"/>
      <c r="C23" s="305"/>
      <c r="D23" s="305"/>
      <c r="E23" s="305"/>
      <c r="F23" s="305"/>
      <c r="G23" s="305"/>
      <c r="H23" s="28"/>
      <c r="K23" s="44" t="str">
        <f>'Données à saisir'!A22</f>
        <v>Travaux et aménagements</v>
      </c>
      <c r="L23" s="19"/>
      <c r="M23" s="19"/>
      <c r="N23" s="19"/>
      <c r="O23" s="19"/>
      <c r="P23" s="19"/>
      <c r="Q23" s="43">
        <f>IF(ISBLANK('Données à saisir'!B22),"",'Données à saisir'!B22)</f>
        <v>20000</v>
      </c>
      <c r="AC23" s="44" t="str">
        <f>'Données à saisir'!A67</f>
        <v>Carburant</v>
      </c>
      <c r="AD23" s="48"/>
      <c r="AE23" s="48"/>
      <c r="AF23" s="48"/>
      <c r="AG23" s="64">
        <f>IF(ISBLANK('Données à saisir'!B67),0,'Données à saisir'!B67)</f>
        <v>500</v>
      </c>
      <c r="AH23" s="64">
        <f>IF(ISBLANK('Données à saisir'!C67),0,'Données à saisir'!C67)</f>
        <v>500</v>
      </c>
      <c r="AI23" s="58">
        <f>IF(ISBLANK('Données à saisir'!D67),0,'Données à saisir'!D67)</f>
        <v>600</v>
      </c>
      <c r="AL23" s="65" t="s">
        <v>104</v>
      </c>
      <c r="AM23" s="66"/>
      <c r="AN23" s="66"/>
      <c r="AO23" s="67">
        <f>AO21-AO22</f>
        <v>3268</v>
      </c>
      <c r="AP23" s="148">
        <f t="shared" si="1"/>
        <v>2.874230430958663E-2</v>
      </c>
      <c r="AQ23" s="67">
        <f t="shared" ref="AQ23:AS23" si="9">AQ21-AQ22</f>
        <v>1875</v>
      </c>
      <c r="AR23" s="149">
        <f t="shared" si="3"/>
        <v>1.5705490639527579E-2</v>
      </c>
      <c r="AS23" s="67">
        <f t="shared" si="9"/>
        <v>2994.25</v>
      </c>
      <c r="AT23" s="151">
        <f t="shared" si="4"/>
        <v>2.3886306208205945E-2</v>
      </c>
      <c r="AW23" s="124" t="s">
        <v>194</v>
      </c>
      <c r="AX23" s="48"/>
      <c r="AY23" s="48"/>
      <c r="AZ23" s="101">
        <f>'Données à saisir'!$G90</f>
        <v>0</v>
      </c>
      <c r="BA23" s="101">
        <f>'Données à saisir'!$G91</f>
        <v>0</v>
      </c>
      <c r="BB23" s="101">
        <f>'Données à saisir'!$G92</f>
        <v>0</v>
      </c>
      <c r="BC23" s="101">
        <f>'Données à saisir'!$G93</f>
        <v>0</v>
      </c>
      <c r="BD23" s="157">
        <f>'Données à saisir'!$G94</f>
        <v>0</v>
      </c>
      <c r="BG23" s="167">
        <f>'Données à saisir'!$G95</f>
        <v>500</v>
      </c>
      <c r="BH23" s="101">
        <f>'Données à saisir'!$G96</f>
        <v>0</v>
      </c>
      <c r="BI23" s="101">
        <f>'Données à saisir'!$G97</f>
        <v>0</v>
      </c>
      <c r="BJ23" s="101">
        <f>'Données à saisir'!$G98</f>
        <v>0</v>
      </c>
      <c r="BK23" s="101">
        <f>'Données à saisir'!$G99</f>
        <v>0</v>
      </c>
      <c r="BL23" s="101">
        <f>'Données à saisir'!$G100</f>
        <v>0</v>
      </c>
      <c r="BM23" s="133">
        <f>'Données à saisir'!$G101</f>
        <v>0</v>
      </c>
      <c r="BN23" s="171">
        <f t="shared" si="7"/>
        <v>500</v>
      </c>
    </row>
    <row r="24" spans="2:66" ht="15" customHeight="1" x14ac:dyDescent="0.25">
      <c r="B24" s="27"/>
      <c r="C24" s="305"/>
      <c r="D24" s="305"/>
      <c r="E24" s="305"/>
      <c r="F24" s="305"/>
      <c r="G24" s="305"/>
      <c r="H24" s="28"/>
      <c r="K24" s="44" t="str">
        <f>'Données à saisir'!A23</f>
        <v>Matériel</v>
      </c>
      <c r="L24" s="19"/>
      <c r="M24" s="19"/>
      <c r="N24" s="19"/>
      <c r="O24" s="19"/>
      <c r="P24" s="19"/>
      <c r="Q24" s="43">
        <f>IF(ISBLANK('Données à saisir'!B23),"",'Données à saisir'!B23)</f>
        <v>35000</v>
      </c>
      <c r="AC24" s="44" t="str">
        <f>'Données à saisir'!A68</f>
        <v>Frais de déplacement et hébergement</v>
      </c>
      <c r="AD24" s="48"/>
      <c r="AE24" s="48"/>
      <c r="AF24" s="48"/>
      <c r="AG24" s="64">
        <f>IF(ISBLANK('Données à saisir'!B68),0,'Données à saisir'!B68)</f>
        <v>0</v>
      </c>
      <c r="AH24" s="64">
        <f>IF(ISBLANK('Données à saisir'!C68),0,'Données à saisir'!C68)</f>
        <v>0</v>
      </c>
      <c r="AI24" s="58">
        <f>IF(ISBLANK('Données à saisir'!D68),0,'Données à saisir'!D68)</f>
        <v>0</v>
      </c>
      <c r="AL24" s="47" t="s">
        <v>23</v>
      </c>
      <c r="AM24" s="50"/>
      <c r="AN24" s="50"/>
      <c r="AO24" s="101">
        <f>AG44</f>
        <v>378.98604191738241</v>
      </c>
      <c r="AP24" s="146">
        <f t="shared" si="1"/>
        <v>3.3332105709532314E-3</v>
      </c>
      <c r="AQ24" s="101">
        <f>AH44</f>
        <v>378.98604191738241</v>
      </c>
      <c r="AR24" s="150">
        <f t="shared" si="3"/>
        <v>3.1744862580506965E-3</v>
      </c>
      <c r="AS24" s="101">
        <f>AI44</f>
        <v>378.98604191738241</v>
      </c>
      <c r="AT24" s="147">
        <f t="shared" si="4"/>
        <v>3.0233202457625682E-3</v>
      </c>
      <c r="AW24" s="65" t="s">
        <v>209</v>
      </c>
      <c r="AX24" s="66"/>
      <c r="AY24" s="66"/>
      <c r="AZ24" s="67">
        <f>SUM(AZ19:AZ23)</f>
        <v>25100</v>
      </c>
      <c r="BA24" s="67">
        <f t="shared" ref="BA24:BD24" si="10">SUM(BA19:BA23)</f>
        <v>86600</v>
      </c>
      <c r="BB24" s="67">
        <f t="shared" si="10"/>
        <v>100</v>
      </c>
      <c r="BC24" s="67">
        <f t="shared" si="10"/>
        <v>100</v>
      </c>
      <c r="BD24" s="68">
        <f t="shared" si="10"/>
        <v>100</v>
      </c>
      <c r="BG24" s="168">
        <f t="shared" ref="BG24:BM24" si="11">SUM(BG19:BG23)</f>
        <v>600</v>
      </c>
      <c r="BH24" s="67">
        <f t="shared" si="11"/>
        <v>100</v>
      </c>
      <c r="BI24" s="67">
        <f t="shared" si="11"/>
        <v>100</v>
      </c>
      <c r="BJ24" s="67">
        <f t="shared" si="11"/>
        <v>100</v>
      </c>
      <c r="BK24" s="67">
        <f t="shared" si="11"/>
        <v>600</v>
      </c>
      <c r="BL24" s="67">
        <f t="shared" si="11"/>
        <v>100</v>
      </c>
      <c r="BM24" s="132">
        <f t="shared" si="11"/>
        <v>100</v>
      </c>
      <c r="BN24" s="170">
        <f t="shared" ref="BN24:BN27" si="12">SUM(AZ24:BM24)</f>
        <v>113700</v>
      </c>
    </row>
    <row r="25" spans="2:66" ht="15" customHeight="1" thickBot="1" x14ac:dyDescent="0.3">
      <c r="B25" s="27"/>
      <c r="C25" s="305"/>
      <c r="D25" s="305"/>
      <c r="E25" s="305"/>
      <c r="F25" s="305"/>
      <c r="G25" s="305"/>
      <c r="H25" s="28"/>
      <c r="K25" s="44" t="str">
        <f>'Données à saisir'!A24</f>
        <v>Matériel de bureau</v>
      </c>
      <c r="L25" s="19"/>
      <c r="M25" s="19"/>
      <c r="N25" s="19"/>
      <c r="O25" s="19"/>
      <c r="P25" s="19"/>
      <c r="Q25" s="43">
        <f>IF(ISBLANK('Données à saisir'!B24),"",'Données à saisir'!B24)</f>
        <v>4000</v>
      </c>
      <c r="T25" s="231"/>
      <c r="U25" s="231"/>
      <c r="V25" s="231"/>
      <c r="W25" s="231"/>
      <c r="X25" s="231"/>
      <c r="Y25" s="231"/>
      <c r="Z25" s="231"/>
      <c r="AC25" s="44" t="str">
        <f>'Données à saisir'!A69</f>
        <v>Eau, électricité, gaz</v>
      </c>
      <c r="AD25" s="48"/>
      <c r="AE25" s="48"/>
      <c r="AF25" s="48"/>
      <c r="AG25" s="64">
        <f>IF(ISBLANK('Données à saisir'!B69),0,'Données à saisir'!B69)</f>
        <v>3000</v>
      </c>
      <c r="AH25" s="64">
        <f>IF(ISBLANK('Données à saisir'!C69),0,'Données à saisir'!C69)</f>
        <v>3200</v>
      </c>
      <c r="AI25" s="58">
        <f>IF(ISBLANK('Données à saisir'!D69),0,'Données à saisir'!D69)</f>
        <v>3400</v>
      </c>
      <c r="AL25" s="47" t="s">
        <v>102</v>
      </c>
      <c r="AM25" s="50"/>
      <c r="AN25" s="50"/>
      <c r="AO25" s="101">
        <f>AO24*-1</f>
        <v>-378.98604191738241</v>
      </c>
      <c r="AP25" s="146">
        <f t="shared" si="1"/>
        <v>-3.3332105709532314E-3</v>
      </c>
      <c r="AQ25" s="101">
        <f t="shared" ref="AQ25:AS25" si="13">AQ24*-1</f>
        <v>-378.98604191738241</v>
      </c>
      <c r="AR25" s="150">
        <f t="shared" si="3"/>
        <v>-3.1744862580506965E-3</v>
      </c>
      <c r="AS25" s="101">
        <f t="shared" si="13"/>
        <v>-378.98604191738241</v>
      </c>
      <c r="AT25" s="147">
        <f t="shared" si="4"/>
        <v>-3.0233202457625682E-3</v>
      </c>
      <c r="AW25" s="124" t="s">
        <v>50</v>
      </c>
      <c r="AX25" s="48"/>
      <c r="AY25" s="48"/>
      <c r="AZ25" s="101">
        <f>Q12</f>
        <v>3600</v>
      </c>
      <c r="BA25" s="60"/>
      <c r="BB25" s="60"/>
      <c r="BC25" s="60"/>
      <c r="BD25" s="70"/>
      <c r="BG25" s="167"/>
      <c r="BH25" s="60"/>
      <c r="BI25" s="101"/>
      <c r="BJ25" s="101"/>
      <c r="BK25" s="60"/>
      <c r="BL25" s="60"/>
      <c r="BM25" s="74"/>
      <c r="BN25" s="171">
        <f t="shared" si="12"/>
        <v>3600</v>
      </c>
    </row>
    <row r="26" spans="2:66" ht="15" customHeight="1" x14ac:dyDescent="0.25">
      <c r="B26" s="27"/>
      <c r="C26" s="23"/>
      <c r="D26" s="23"/>
      <c r="E26" s="23"/>
      <c r="F26" s="23"/>
      <c r="G26" s="23"/>
      <c r="H26" s="28"/>
      <c r="K26" s="36"/>
      <c r="L26" s="19"/>
      <c r="M26" s="19"/>
      <c r="N26" s="19"/>
      <c r="O26" s="19"/>
      <c r="P26" s="19"/>
      <c r="Q26" s="230"/>
      <c r="T26" s="284" t="s">
        <v>94</v>
      </c>
      <c r="U26" s="285"/>
      <c r="V26" s="285"/>
      <c r="W26" s="285"/>
      <c r="X26" s="285"/>
      <c r="Y26" s="285"/>
      <c r="Z26" s="286"/>
      <c r="AC26" s="44" t="str">
        <f>'Données à saisir'!A70</f>
        <v>Mutuelle</v>
      </c>
      <c r="AD26" s="48"/>
      <c r="AE26" s="48"/>
      <c r="AF26" s="48"/>
      <c r="AG26" s="64">
        <f>IF(ISBLANK('Données à saisir'!B70),0,'Données à saisir'!B70)</f>
        <v>600</v>
      </c>
      <c r="AH26" s="64">
        <f>IF(ISBLANK('Données à saisir'!C70),0,'Données à saisir'!C70)</f>
        <v>700</v>
      </c>
      <c r="AI26" s="58">
        <f>IF(ISBLANK('Données à saisir'!D70),0,'Données à saisir'!D70)</f>
        <v>800</v>
      </c>
      <c r="AL26" s="65" t="s">
        <v>205</v>
      </c>
      <c r="AM26" s="66"/>
      <c r="AN26" s="66"/>
      <c r="AO26" s="67">
        <f>AO23+AO25</f>
        <v>2889.0139580826176</v>
      </c>
      <c r="AP26" s="148">
        <f t="shared" si="1"/>
        <v>2.5409093738633402E-2</v>
      </c>
      <c r="AQ26" s="67">
        <f t="shared" ref="AQ26:AS26" si="14">AQ23+AQ25</f>
        <v>1496.0139580826176</v>
      </c>
      <c r="AR26" s="149">
        <f t="shared" si="3"/>
        <v>1.2531004381476881E-2</v>
      </c>
      <c r="AS26" s="67">
        <f t="shared" si="14"/>
        <v>2615.2639580826176</v>
      </c>
      <c r="AT26" s="151">
        <f t="shared" si="4"/>
        <v>2.0862985962443376E-2</v>
      </c>
      <c r="AW26" s="124" t="s">
        <v>47</v>
      </c>
      <c r="AX26" s="48"/>
      <c r="AY26" s="48"/>
      <c r="AZ26" s="101">
        <f>Q20</f>
        <v>60500</v>
      </c>
      <c r="BA26" s="101"/>
      <c r="BB26" s="101"/>
      <c r="BC26" s="101"/>
      <c r="BD26" s="120"/>
      <c r="BG26" s="167"/>
      <c r="BH26" s="101"/>
      <c r="BI26" s="101"/>
      <c r="BJ26" s="101"/>
      <c r="BK26" s="101"/>
      <c r="BL26" s="101"/>
      <c r="BM26" s="133"/>
      <c r="BN26" s="171">
        <f t="shared" si="12"/>
        <v>60500</v>
      </c>
    </row>
    <row r="27" spans="2:66" ht="15" customHeight="1" x14ac:dyDescent="0.25">
      <c r="B27" s="27"/>
      <c r="C27" s="21"/>
      <c r="D27" s="21"/>
      <c r="E27" s="21"/>
      <c r="F27" s="21"/>
      <c r="G27" s="21"/>
      <c r="H27" s="28"/>
      <c r="K27" s="39" t="str">
        <f>'Données à saisir'!A25</f>
        <v>Stock de matières et produits</v>
      </c>
      <c r="L27" s="20"/>
      <c r="M27" s="20"/>
      <c r="N27" s="20"/>
      <c r="O27" s="20"/>
      <c r="P27" s="20"/>
      <c r="Q27" s="42">
        <f>IF(ISBLANK('Données à saisir'!B25),"",'Données à saisir'!B25)</f>
        <v>1000</v>
      </c>
      <c r="T27" s="287"/>
      <c r="U27" s="288"/>
      <c r="V27" s="288"/>
      <c r="W27" s="288"/>
      <c r="X27" s="288"/>
      <c r="Y27" s="288"/>
      <c r="Z27" s="289"/>
      <c r="AC27" s="44" t="str">
        <f>'Données à saisir'!A71</f>
        <v>Fournitures diverses</v>
      </c>
      <c r="AD27" s="48"/>
      <c r="AE27" s="48"/>
      <c r="AF27" s="48"/>
      <c r="AG27" s="64">
        <f>IF(ISBLANK('Données à saisir'!B71),0,'Données à saisir'!B71)</f>
        <v>2500</v>
      </c>
      <c r="AH27" s="64">
        <f>IF(ISBLANK('Données à saisir'!C71),0,'Données à saisir'!C71)</f>
        <v>2700</v>
      </c>
      <c r="AI27" s="58">
        <f>IF(ISBLANK('Données à saisir'!D71),0,'Données à saisir'!D71)</f>
        <v>2900</v>
      </c>
      <c r="AL27" s="47" t="s">
        <v>103</v>
      </c>
      <c r="AM27" s="50"/>
      <c r="AN27" s="50"/>
      <c r="AO27" s="101">
        <f>AO26+AO22</f>
        <v>15469.013958082618</v>
      </c>
      <c r="AP27" s="146">
        <f>AO27/$AO$14</f>
        <v>0.13605113419597728</v>
      </c>
      <c r="AQ27" s="101">
        <f>AQ26+AQ22</f>
        <v>14076.013958082618</v>
      </c>
      <c r="AR27" s="150">
        <f>AQ27/$AQ$14</f>
        <v>0.11790437624561392</v>
      </c>
      <c r="AS27" s="101">
        <f>AS26+AS22</f>
        <v>15195.263958082618</v>
      </c>
      <c r="AT27" s="152">
        <f>AS27/$AS$14</f>
        <v>0.12121857821400246</v>
      </c>
      <c r="AW27" s="65" t="s">
        <v>137</v>
      </c>
      <c r="AX27" s="66"/>
      <c r="AY27" s="66"/>
      <c r="AZ27" s="67">
        <f>SUM(AZ25:AZ26)</f>
        <v>64100</v>
      </c>
      <c r="BA27" s="67"/>
      <c r="BB27" s="67"/>
      <c r="BC27" s="67"/>
      <c r="BD27" s="68"/>
      <c r="BG27" s="168"/>
      <c r="BH27" s="67"/>
      <c r="BI27" s="67"/>
      <c r="BJ27" s="67"/>
      <c r="BK27" s="67"/>
      <c r="BL27" s="67"/>
      <c r="BM27" s="132"/>
      <c r="BN27" s="170">
        <f t="shared" si="12"/>
        <v>64100</v>
      </c>
    </row>
    <row r="28" spans="2:66" ht="15" customHeight="1" thickBot="1" x14ac:dyDescent="0.3">
      <c r="B28" s="27"/>
      <c r="C28" s="306" t="str">
        <f>IF(ISBLANK('Données à saisir'!B6),"",('Données à saisir'!B6))</f>
        <v>Ecole Montessori</v>
      </c>
      <c r="D28" s="306"/>
      <c r="E28" s="306"/>
      <c r="F28" s="306"/>
      <c r="G28" s="306"/>
      <c r="H28" s="28"/>
      <c r="K28" s="39" t="str">
        <f>'Données à saisir'!A26</f>
        <v>Trésorerie de départ</v>
      </c>
      <c r="L28" s="20"/>
      <c r="M28" s="20"/>
      <c r="N28" s="20"/>
      <c r="O28" s="20"/>
      <c r="P28" s="20"/>
      <c r="Q28" s="42">
        <f>IF(ISBLANK('Données à saisir'!B26),"",'Données à saisir'!B26)</f>
        <v>5000</v>
      </c>
      <c r="T28" s="290"/>
      <c r="U28" s="291"/>
      <c r="V28" s="291"/>
      <c r="W28" s="291"/>
      <c r="X28" s="291"/>
      <c r="Y28" s="291"/>
      <c r="Z28" s="292"/>
      <c r="AC28" s="44" t="str">
        <f>'Données à saisir'!A72</f>
        <v>Entretien matériel et vêtements</v>
      </c>
      <c r="AD28" s="48"/>
      <c r="AE28" s="48"/>
      <c r="AF28" s="48"/>
      <c r="AG28" s="64">
        <f>IF(ISBLANK('Données à saisir'!B72),0,'Données à saisir'!B72)</f>
        <v>1900</v>
      </c>
      <c r="AH28" s="64">
        <f>IF(ISBLANK('Données à saisir'!C72),0,'Données à saisir'!C72)</f>
        <v>2000</v>
      </c>
      <c r="AI28" s="58">
        <f>IF(ISBLANK('Données à saisir'!D72),0,'Données à saisir'!D72)</f>
        <v>2100</v>
      </c>
      <c r="AL28" s="35"/>
      <c r="AM28" s="35"/>
      <c r="AN28" s="35"/>
      <c r="AO28" s="35"/>
      <c r="AP28" s="35"/>
      <c r="AQ28" s="35"/>
      <c r="AR28" s="35"/>
      <c r="AS28" s="35"/>
      <c r="AW28" s="124" t="s">
        <v>228</v>
      </c>
      <c r="AX28" s="48"/>
      <c r="AY28" s="48"/>
      <c r="AZ28" s="101">
        <f>Q27</f>
        <v>1000</v>
      </c>
      <c r="BA28" s="101"/>
      <c r="BB28" s="101"/>
      <c r="BC28" s="101"/>
      <c r="BD28" s="120"/>
      <c r="BG28" s="167"/>
      <c r="BH28" s="101"/>
      <c r="BI28" s="101"/>
      <c r="BJ28" s="101"/>
      <c r="BK28" s="101"/>
      <c r="BL28" s="101"/>
      <c r="BM28" s="133"/>
      <c r="BN28" s="171">
        <f t="shared" ref="BN28:BN39" si="15">SUM(AZ28:BM28)</f>
        <v>1000</v>
      </c>
    </row>
    <row r="29" spans="2:66" ht="15" customHeight="1" x14ac:dyDescent="0.25">
      <c r="B29" s="27"/>
      <c r="C29" s="306"/>
      <c r="D29" s="306"/>
      <c r="E29" s="306"/>
      <c r="F29" s="306"/>
      <c r="G29" s="306"/>
      <c r="H29" s="28"/>
      <c r="K29" s="40"/>
      <c r="L29" s="19"/>
      <c r="M29" s="19"/>
      <c r="N29" s="19"/>
      <c r="Q29" s="46"/>
      <c r="AC29" s="44" t="str">
        <f>'Données à saisir'!A73</f>
        <v>Nettoyage des locaux</v>
      </c>
      <c r="AD29" s="48"/>
      <c r="AE29" s="48"/>
      <c r="AF29" s="48"/>
      <c r="AG29" s="64">
        <f>IF(ISBLANK('Données à saisir'!B73),0,'Données à saisir'!B73)</f>
        <v>800</v>
      </c>
      <c r="AH29" s="64">
        <f>IF(ISBLANK('Données à saisir'!C73),0,'Données à saisir'!C73)</f>
        <v>900</v>
      </c>
      <c r="AI29" s="58">
        <f>IF(ISBLANK('Données à saisir'!D73),0,'Données à saisir'!D73)</f>
        <v>1000</v>
      </c>
      <c r="AL29" s="19"/>
      <c r="AM29" s="19"/>
      <c r="AN29" s="19"/>
      <c r="AO29" s="19"/>
      <c r="AP29" s="19"/>
      <c r="AQ29" s="19"/>
      <c r="AR29" s="19"/>
      <c r="AS29" s="19"/>
      <c r="AT29" s="19"/>
      <c r="AW29" s="124" t="s">
        <v>138</v>
      </c>
      <c r="AX29" s="48"/>
      <c r="AY29" s="48"/>
      <c r="AZ29" s="101">
        <f>IF(ISERROR('Données à saisir'!$J$60/12),0,'Données à saisir'!$J$60/12)</f>
        <v>818.33333333333337</v>
      </c>
      <c r="BA29" s="101">
        <f>IF(ISERROR('Données à saisir'!$J$60/12),0,'Données à saisir'!$J$60/12)</f>
        <v>818.33333333333337</v>
      </c>
      <c r="BB29" s="101">
        <f>IF(ISERROR('Données à saisir'!$J$60/12),0,'Données à saisir'!$J$60/12)</f>
        <v>818.33333333333337</v>
      </c>
      <c r="BC29" s="101">
        <f>IF(ISERROR('Données à saisir'!$J$60/12),0,'Données à saisir'!$J$60/12)</f>
        <v>818.33333333333337</v>
      </c>
      <c r="BD29" s="120">
        <f>IF(ISERROR('Données à saisir'!$J$60/12),0,'Données à saisir'!$J$60/12)</f>
        <v>818.33333333333337</v>
      </c>
      <c r="BG29" s="167">
        <f>IF(ISERROR('Données à saisir'!$J$60/12),0,'Données à saisir'!$J$60/12)</f>
        <v>818.33333333333337</v>
      </c>
      <c r="BH29" s="101">
        <f>IF(ISERROR('Données à saisir'!$J$60/12),0,'Données à saisir'!$J$60/12)</f>
        <v>818.33333333333337</v>
      </c>
      <c r="BI29" s="101">
        <f>IF(ISERROR('Données à saisir'!$J$60/12),0,'Données à saisir'!$J$60/12)</f>
        <v>818.33333333333337</v>
      </c>
      <c r="BJ29" s="101">
        <f>IF(ISERROR('Données à saisir'!$J$60/12),0,'Données à saisir'!$J$60/12)</f>
        <v>818.33333333333337</v>
      </c>
      <c r="BK29" s="101">
        <f>IF(ISERROR('Données à saisir'!$J$60/12),0,'Données à saisir'!$J$60/12)</f>
        <v>818.33333333333337</v>
      </c>
      <c r="BL29" s="101">
        <f>IF(ISERROR('Données à saisir'!$J$60/12),0,'Données à saisir'!$J$60/12)</f>
        <v>818.33333333333337</v>
      </c>
      <c r="BM29" s="133">
        <f>IF(ISERROR('Données à saisir'!$J$60/12),0,'Données à saisir'!$J$60/12)</f>
        <v>818.33333333333337</v>
      </c>
      <c r="BN29" s="171">
        <f t="shared" si="15"/>
        <v>9820</v>
      </c>
    </row>
    <row r="30" spans="2:66" ht="15" customHeight="1" x14ac:dyDescent="0.25">
      <c r="B30" s="27"/>
      <c r="C30" s="306"/>
      <c r="D30" s="306"/>
      <c r="E30" s="306"/>
      <c r="F30" s="306"/>
      <c r="G30" s="306"/>
      <c r="H30" s="28"/>
      <c r="K30" s="36"/>
      <c r="L30" s="19"/>
      <c r="M30" s="19"/>
      <c r="N30" s="19"/>
      <c r="O30" s="20" t="s">
        <v>52</v>
      </c>
      <c r="P30" s="19"/>
      <c r="Q30" s="45">
        <f>+SUM(Q12,Q20,Q27:Q28)</f>
        <v>70100</v>
      </c>
      <c r="AC30" s="44" t="str">
        <f>'Données à saisir'!A74</f>
        <v>Budget communication</v>
      </c>
      <c r="AD30" s="48"/>
      <c r="AE30" s="48"/>
      <c r="AF30" s="48"/>
      <c r="AG30" s="64">
        <f>IF(ISBLANK('Données à saisir'!B74),0,'Données à saisir'!B74)</f>
        <v>2000</v>
      </c>
      <c r="AH30" s="64">
        <f>IF(ISBLANK('Données à saisir'!C74),0,'Données à saisir'!C74)</f>
        <v>2000</v>
      </c>
      <c r="AI30" s="58">
        <f>IF(ISBLANK('Données à saisir'!D74),0,'Données à saisir'!D74)</f>
        <v>2000</v>
      </c>
      <c r="AL30" s="96"/>
      <c r="AM30" s="48"/>
      <c r="AN30" s="48"/>
      <c r="AO30" s="97"/>
      <c r="AP30" s="97"/>
      <c r="AQ30" s="97"/>
      <c r="AR30" s="97"/>
      <c r="AS30" s="97"/>
      <c r="AT30" s="97"/>
      <c r="AW30" s="124" t="s">
        <v>56</v>
      </c>
      <c r="AX30" s="48"/>
      <c r="AY30" s="48"/>
      <c r="AZ30" s="101">
        <f>AZ19*'Données à saisir'!$D$110</f>
        <v>0</v>
      </c>
      <c r="BA30" s="101">
        <f>BA19*'Données à saisir'!$D$110</f>
        <v>0</v>
      </c>
      <c r="BB30" s="101">
        <f>BB19*'Données à saisir'!$D$110</f>
        <v>0</v>
      </c>
      <c r="BC30" s="101">
        <f>BC19*'Données à saisir'!$D$110</f>
        <v>0</v>
      </c>
      <c r="BD30" s="120">
        <f>BD19*'Données à saisir'!$D$110</f>
        <v>0</v>
      </c>
      <c r="BG30" s="167">
        <f>BG19*'Données à saisir'!$D$110</f>
        <v>0</v>
      </c>
      <c r="BH30" s="101">
        <f>BH19*'Données à saisir'!$D$110</f>
        <v>0</v>
      </c>
      <c r="BI30" s="101">
        <f>BI19*'Données à saisir'!$D$110</f>
        <v>0</v>
      </c>
      <c r="BJ30" s="101">
        <f>BJ19*'Données à saisir'!$D$110</f>
        <v>0</v>
      </c>
      <c r="BK30" s="101">
        <f>BK19*'Données à saisir'!$D$110</f>
        <v>0</v>
      </c>
      <c r="BL30" s="101">
        <f>BL19*'Données à saisir'!$D$110</f>
        <v>0</v>
      </c>
      <c r="BM30" s="133">
        <f>BM19*'Données à saisir'!$D$110</f>
        <v>0</v>
      </c>
      <c r="BN30" s="171">
        <f t="shared" si="15"/>
        <v>0</v>
      </c>
    </row>
    <row r="31" spans="2:66" ht="15" customHeight="1" x14ac:dyDescent="0.25">
      <c r="B31" s="27"/>
      <c r="C31" s="306"/>
      <c r="D31" s="306"/>
      <c r="E31" s="306"/>
      <c r="F31" s="306"/>
      <c r="G31" s="306"/>
      <c r="H31" s="28"/>
      <c r="K31" s="36"/>
      <c r="L31" s="19"/>
      <c r="M31" s="19"/>
      <c r="N31" s="19"/>
      <c r="O31" s="19"/>
      <c r="P31" s="19"/>
      <c r="Q31" s="229"/>
      <c r="AC31" s="44" t="str">
        <f>'Données à saisir'!A75</f>
        <v>Loyer et charges locatives</v>
      </c>
      <c r="AD31" s="50"/>
      <c r="AE31" s="50"/>
      <c r="AF31" s="50"/>
      <c r="AG31" s="64">
        <f>IF(ISBLANK('Données à saisir'!B75),0,'Données à saisir'!B75)</f>
        <v>10800</v>
      </c>
      <c r="AH31" s="64">
        <f>IF(ISBLANK('Données à saisir'!C75),0,'Données à saisir'!C75)</f>
        <v>11000</v>
      </c>
      <c r="AI31" s="58">
        <f>IF(ISBLANK('Données à saisir'!D75),0,'Données à saisir'!D75)</f>
        <v>11000</v>
      </c>
      <c r="AL31" s="96"/>
      <c r="AM31" s="48"/>
      <c r="AN31" s="48"/>
      <c r="AO31" s="97"/>
      <c r="AP31" s="97"/>
      <c r="AQ31" s="97"/>
      <c r="AR31" s="97"/>
      <c r="AS31" s="97"/>
      <c r="AT31" s="97"/>
      <c r="AW31" s="124" t="s">
        <v>57</v>
      </c>
      <c r="AX31" s="48"/>
      <c r="AY31" s="48"/>
      <c r="AZ31" s="101">
        <f>$AG$19/12</f>
        <v>2188.3333333333335</v>
      </c>
      <c r="BA31" s="101">
        <f>$AG$19/12</f>
        <v>2188.3333333333335</v>
      </c>
      <c r="BB31" s="101">
        <f>$AG$19/12</f>
        <v>2188.3333333333335</v>
      </c>
      <c r="BC31" s="101">
        <f>$AG$19/12</f>
        <v>2188.3333333333335</v>
      </c>
      <c r="BD31" s="120">
        <f>$AG$19/12</f>
        <v>2188.3333333333335</v>
      </c>
      <c r="BG31" s="167">
        <f t="shared" ref="BG31:BM31" si="16">$AG$19/12</f>
        <v>2188.3333333333335</v>
      </c>
      <c r="BH31" s="101">
        <f t="shared" si="16"/>
        <v>2188.3333333333335</v>
      </c>
      <c r="BI31" s="101">
        <f t="shared" si="16"/>
        <v>2188.3333333333335</v>
      </c>
      <c r="BJ31" s="101">
        <f t="shared" si="16"/>
        <v>2188.3333333333335</v>
      </c>
      <c r="BK31" s="101">
        <f t="shared" si="16"/>
        <v>2188.3333333333335</v>
      </c>
      <c r="BL31" s="101">
        <f t="shared" si="16"/>
        <v>2188.3333333333335</v>
      </c>
      <c r="BM31" s="133">
        <f t="shared" si="16"/>
        <v>2188.3333333333335</v>
      </c>
      <c r="BN31" s="171">
        <f t="shared" si="15"/>
        <v>26259.999999999996</v>
      </c>
    </row>
    <row r="32" spans="2:66" ht="15" customHeight="1" x14ac:dyDescent="0.25">
      <c r="B32" s="27"/>
      <c r="C32" s="306"/>
      <c r="D32" s="306"/>
      <c r="E32" s="306"/>
      <c r="F32" s="306"/>
      <c r="G32" s="306"/>
      <c r="H32" s="28"/>
      <c r="K32" s="295" t="s">
        <v>87</v>
      </c>
      <c r="L32" s="319"/>
      <c r="M32" s="319"/>
      <c r="N32" s="319"/>
      <c r="O32" s="319"/>
      <c r="P32" s="307"/>
      <c r="Q32" s="317" t="s">
        <v>51</v>
      </c>
      <c r="X32" s="85" t="s">
        <v>28</v>
      </c>
      <c r="Y32" s="87" t="s">
        <v>29</v>
      </c>
      <c r="Z32" s="83" t="s">
        <v>30</v>
      </c>
      <c r="AC32" s="44" t="str">
        <f>'Données à saisir'!A76</f>
        <v>Autres dépenses externes</v>
      </c>
      <c r="AD32" s="50"/>
      <c r="AE32" s="50"/>
      <c r="AF32" s="50"/>
      <c r="AG32" s="64">
        <f>IF(ISBLANK('Données à saisir'!B76),0,'Données à saisir'!B76)</f>
        <v>2000</v>
      </c>
      <c r="AH32" s="64">
        <f>IF(ISBLANK('Données à saisir'!C76),0,'Données à saisir'!C76)</f>
        <v>2500</v>
      </c>
      <c r="AI32" s="58">
        <f>IF(ISBLANK('Données à saisir'!D76),0,'Données à saisir'!D76)</f>
        <v>3000</v>
      </c>
      <c r="AW32" s="124" t="str">
        <f>AC38</f>
        <v>Impôts et taxes</v>
      </c>
      <c r="AX32" s="48"/>
      <c r="AY32" s="48"/>
      <c r="AZ32" s="101">
        <f t="shared" ref="AZ32:BD36" si="17">$AG38/12</f>
        <v>50</v>
      </c>
      <c r="BA32" s="101">
        <f t="shared" si="17"/>
        <v>50</v>
      </c>
      <c r="BB32" s="101">
        <f t="shared" si="17"/>
        <v>50</v>
      </c>
      <c r="BC32" s="101">
        <f t="shared" si="17"/>
        <v>50</v>
      </c>
      <c r="BD32" s="120">
        <f t="shared" si="17"/>
        <v>50</v>
      </c>
      <c r="BG32" s="167">
        <f t="shared" ref="BG32:BM36" si="18">$AG38/12</f>
        <v>50</v>
      </c>
      <c r="BH32" s="101">
        <f t="shared" si="18"/>
        <v>50</v>
      </c>
      <c r="BI32" s="101">
        <f t="shared" si="18"/>
        <v>50</v>
      </c>
      <c r="BJ32" s="101">
        <f t="shared" si="18"/>
        <v>50</v>
      </c>
      <c r="BK32" s="101">
        <f t="shared" si="18"/>
        <v>50</v>
      </c>
      <c r="BL32" s="101">
        <f t="shared" si="18"/>
        <v>50</v>
      </c>
      <c r="BM32" s="133">
        <f t="shared" si="18"/>
        <v>50</v>
      </c>
      <c r="BN32" s="171">
        <f t="shared" si="15"/>
        <v>600</v>
      </c>
    </row>
    <row r="33" spans="2:66" ht="15" customHeight="1" thickBot="1" x14ac:dyDescent="0.3">
      <c r="B33" s="27"/>
      <c r="C33" s="323" t="str">
        <f>IF(ISBLANK('Données à saisir'!B7),"",('Données à saisir'!B7))</f>
        <v>Association loi 1901</v>
      </c>
      <c r="D33" s="323"/>
      <c r="E33" s="323"/>
      <c r="F33" s="323"/>
      <c r="G33" s="323"/>
      <c r="H33" s="28"/>
      <c r="K33" s="296"/>
      <c r="L33" s="320"/>
      <c r="M33" s="320"/>
      <c r="N33" s="320"/>
      <c r="O33" s="320"/>
      <c r="P33" s="312"/>
      <c r="Q33" s="318"/>
      <c r="T33" s="102"/>
      <c r="U33" s="50"/>
      <c r="V33" s="50"/>
      <c r="W33" s="50"/>
      <c r="X33" s="86"/>
      <c r="Y33" s="88"/>
      <c r="Z33" s="84"/>
      <c r="AC33" s="44" t="str">
        <f>IF(ISBLANK('Données à saisir'!A80),"",'Données à saisir'!A80)</f>
        <v>Libellé autre charge 1 (supprimer si inutile)</v>
      </c>
      <c r="AD33" s="48"/>
      <c r="AE33" s="48"/>
      <c r="AF33" s="48"/>
      <c r="AG33" s="64">
        <f>IF(ISBLANK('Données à saisir'!B80),0,'Données à saisir'!B80)</f>
        <v>0</v>
      </c>
      <c r="AH33" s="64">
        <f>IF(ISBLANK('Données à saisir'!C80),0,'Données à saisir'!C80)</f>
        <v>0</v>
      </c>
      <c r="AI33" s="71">
        <f>IF(ISBLANK('Données à saisir'!D80),0,'Données à saisir'!D80)</f>
        <v>0</v>
      </c>
      <c r="AW33" s="161" t="str">
        <f>AC39</f>
        <v>Salaires employés</v>
      </c>
      <c r="AX33" s="117"/>
      <c r="AY33" s="117"/>
      <c r="AZ33" s="119">
        <f t="shared" si="17"/>
        <v>2400</v>
      </c>
      <c r="BA33" s="119">
        <f t="shared" si="17"/>
        <v>2400</v>
      </c>
      <c r="BB33" s="119">
        <f t="shared" si="17"/>
        <v>2400</v>
      </c>
      <c r="BC33" s="119">
        <f t="shared" si="17"/>
        <v>2400</v>
      </c>
      <c r="BD33" s="175">
        <f t="shared" si="17"/>
        <v>2400</v>
      </c>
      <c r="BG33" s="176">
        <f t="shared" si="18"/>
        <v>2400</v>
      </c>
      <c r="BH33" s="119">
        <f t="shared" si="18"/>
        <v>2400</v>
      </c>
      <c r="BI33" s="119">
        <f t="shared" si="18"/>
        <v>2400</v>
      </c>
      <c r="BJ33" s="119">
        <f t="shared" si="18"/>
        <v>2400</v>
      </c>
      <c r="BK33" s="119">
        <f t="shared" si="18"/>
        <v>2400</v>
      </c>
      <c r="BL33" s="119">
        <f t="shared" si="18"/>
        <v>2400</v>
      </c>
      <c r="BM33" s="177">
        <f t="shared" si="18"/>
        <v>2400</v>
      </c>
      <c r="BN33" s="179">
        <f t="shared" si="15"/>
        <v>28800</v>
      </c>
    </row>
    <row r="34" spans="2:66" ht="15" customHeight="1" x14ac:dyDescent="0.25">
      <c r="B34" s="27"/>
      <c r="C34" s="323"/>
      <c r="D34" s="323"/>
      <c r="E34" s="323"/>
      <c r="F34" s="323"/>
      <c r="G34" s="323"/>
      <c r="H34" s="28"/>
      <c r="K34" s="34"/>
      <c r="L34" s="35"/>
      <c r="M34" s="35"/>
      <c r="N34" s="35"/>
      <c r="O34" s="35"/>
      <c r="P34" s="35"/>
      <c r="Q34" s="41"/>
      <c r="T34" s="105" t="s">
        <v>95</v>
      </c>
      <c r="U34" s="35"/>
      <c r="V34" s="35"/>
      <c r="W34" s="35"/>
      <c r="X34" s="108">
        <f>SUM(X36:X39)</f>
        <v>480</v>
      </c>
      <c r="Y34" s="108">
        <f>SUM(Y36:Y39)</f>
        <v>480</v>
      </c>
      <c r="Z34" s="109">
        <f>SUM(Z36:Z39)</f>
        <v>480</v>
      </c>
      <c r="AC34" s="44" t="str">
        <f>IF(ISBLANK('Données à saisir'!A81),"",'Données à saisir'!A81)</f>
        <v>Libellé autre charge 2 (supprimer si inutile)</v>
      </c>
      <c r="AD34" s="54"/>
      <c r="AE34" s="54"/>
      <c r="AF34" s="54"/>
      <c r="AG34" s="64">
        <f>IF(ISBLANK('Données à saisir'!B81),0,'Données à saisir'!B81)</f>
        <v>0</v>
      </c>
      <c r="AH34" s="64">
        <f>IF(ISBLANK('Données à saisir'!C81),0,'Données à saisir'!C81)</f>
        <v>0</v>
      </c>
      <c r="AI34" s="71">
        <f>IF(ISBLANK('Données à saisir'!D81),0,'Données à saisir'!D81)</f>
        <v>0</v>
      </c>
      <c r="AL34" s="284" t="s">
        <v>103</v>
      </c>
      <c r="AM34" s="285"/>
      <c r="AN34" s="285"/>
      <c r="AO34" s="285"/>
      <c r="AP34" s="285"/>
      <c r="AQ34" s="285"/>
      <c r="AR34" s="285"/>
      <c r="AS34" s="285"/>
      <c r="AT34" s="286"/>
      <c r="AW34" s="124" t="str">
        <f>AC40</f>
        <v>Charges sociales employés</v>
      </c>
      <c r="AX34" s="48"/>
      <c r="AY34" s="48"/>
      <c r="AZ34" s="101">
        <f t="shared" si="17"/>
        <v>1776</v>
      </c>
      <c r="BA34" s="101">
        <f t="shared" si="17"/>
        <v>1776</v>
      </c>
      <c r="BB34" s="101">
        <f t="shared" si="17"/>
        <v>1776</v>
      </c>
      <c r="BC34" s="101">
        <f t="shared" si="17"/>
        <v>1776</v>
      </c>
      <c r="BD34" s="120">
        <f t="shared" si="17"/>
        <v>1776</v>
      </c>
      <c r="BG34" s="167">
        <f t="shared" si="18"/>
        <v>1776</v>
      </c>
      <c r="BH34" s="101">
        <f t="shared" si="18"/>
        <v>1776</v>
      </c>
      <c r="BI34" s="101">
        <f t="shared" si="18"/>
        <v>1776</v>
      </c>
      <c r="BJ34" s="101">
        <f t="shared" si="18"/>
        <v>1776</v>
      </c>
      <c r="BK34" s="101">
        <f t="shared" si="18"/>
        <v>1776</v>
      </c>
      <c r="BL34" s="101">
        <f t="shared" si="18"/>
        <v>1776</v>
      </c>
      <c r="BM34" s="133">
        <f t="shared" si="18"/>
        <v>1776</v>
      </c>
      <c r="BN34" s="171">
        <f t="shared" si="15"/>
        <v>21312</v>
      </c>
    </row>
    <row r="35" spans="2:66" ht="15" customHeight="1" x14ac:dyDescent="0.25">
      <c r="B35" s="27"/>
      <c r="C35" s="323"/>
      <c r="D35" s="323"/>
      <c r="E35" s="323"/>
      <c r="F35" s="323"/>
      <c r="G35" s="323"/>
      <c r="H35" s="28"/>
      <c r="K35" s="39" t="s">
        <v>207</v>
      </c>
      <c r="L35" s="19"/>
      <c r="M35" s="19"/>
      <c r="N35" s="19"/>
      <c r="O35" s="19"/>
      <c r="P35" s="229"/>
      <c r="Q35" s="42">
        <f>SUM(Q36:Q38)</f>
        <v>16000</v>
      </c>
      <c r="T35" s="36"/>
      <c r="U35" s="19"/>
      <c r="V35" s="19"/>
      <c r="W35" s="19"/>
      <c r="X35" s="216"/>
      <c r="Y35" s="216"/>
      <c r="Z35" s="217"/>
      <c r="AC35" s="44" t="str">
        <f>IF(ISBLANK('Données à saisir'!A82),"",'Données à saisir'!A82)</f>
        <v>Libellé autre charge 3 (supprimer si inutile)</v>
      </c>
      <c r="AD35" s="48"/>
      <c r="AE35" s="48"/>
      <c r="AF35" s="48"/>
      <c r="AG35" s="64">
        <f>IF(ISBLANK('Données à saisir'!B82),0,'Données à saisir'!B82)</f>
        <v>0</v>
      </c>
      <c r="AH35" s="64">
        <f>IF(ISBLANK('Données à saisir'!C82),0,'Données à saisir'!C82)</f>
        <v>0</v>
      </c>
      <c r="AI35" s="71">
        <f>IF(ISBLANK('Données à saisir'!D82),0,'Données à saisir'!D82)</f>
        <v>0</v>
      </c>
      <c r="AL35" s="287"/>
      <c r="AM35" s="288"/>
      <c r="AN35" s="288"/>
      <c r="AO35" s="288"/>
      <c r="AP35" s="288"/>
      <c r="AQ35" s="288"/>
      <c r="AR35" s="288"/>
      <c r="AS35" s="288"/>
      <c r="AT35" s="289"/>
      <c r="AW35" s="124" t="str">
        <f>AC41</f>
        <v>Rémunération responsable(s)</v>
      </c>
      <c r="AX35" s="48"/>
      <c r="AY35" s="48"/>
      <c r="AZ35" s="101">
        <f t="shared" si="17"/>
        <v>1000</v>
      </c>
      <c r="BA35" s="101">
        <f t="shared" si="17"/>
        <v>1000</v>
      </c>
      <c r="BB35" s="101">
        <f t="shared" si="17"/>
        <v>1000</v>
      </c>
      <c r="BC35" s="101">
        <f t="shared" si="17"/>
        <v>1000</v>
      </c>
      <c r="BD35" s="120">
        <f t="shared" si="17"/>
        <v>1000</v>
      </c>
      <c r="BG35" s="167">
        <f t="shared" si="18"/>
        <v>1000</v>
      </c>
      <c r="BH35" s="101">
        <f t="shared" si="18"/>
        <v>1000</v>
      </c>
      <c r="BI35" s="101">
        <f t="shared" si="18"/>
        <v>1000</v>
      </c>
      <c r="BJ35" s="101">
        <f t="shared" si="18"/>
        <v>1000</v>
      </c>
      <c r="BK35" s="101">
        <f t="shared" si="18"/>
        <v>1000</v>
      </c>
      <c r="BL35" s="101">
        <f t="shared" si="18"/>
        <v>1000</v>
      </c>
      <c r="BM35" s="133">
        <f t="shared" si="18"/>
        <v>1000</v>
      </c>
      <c r="BN35" s="171">
        <f t="shared" si="15"/>
        <v>12000</v>
      </c>
    </row>
    <row r="36" spans="2:66" ht="15" customHeight="1" thickBot="1" x14ac:dyDescent="0.3">
      <c r="B36" s="27"/>
      <c r="C36" s="19"/>
      <c r="D36" s="19"/>
      <c r="E36" s="19"/>
      <c r="F36" s="19"/>
      <c r="G36" s="19"/>
      <c r="H36" s="28"/>
      <c r="K36" s="44" t="s">
        <v>177</v>
      </c>
      <c r="L36" s="19"/>
      <c r="M36" s="19"/>
      <c r="N36" s="19"/>
      <c r="O36" s="19"/>
      <c r="P36" s="19"/>
      <c r="Q36" s="43">
        <f>IF(ISBLANK('Données à saisir'!B45),0,'Données à saisir'!B45)</f>
        <v>10000</v>
      </c>
      <c r="T36" s="44" t="str">
        <f>K13</f>
        <v>Frais création association</v>
      </c>
      <c r="U36" s="19"/>
      <c r="V36" s="19"/>
      <c r="W36" s="19"/>
      <c r="X36" s="111">
        <f>'Données à saisir'!C33</f>
        <v>0</v>
      </c>
      <c r="Y36" s="111">
        <f>'Données à saisir'!D33</f>
        <v>0</v>
      </c>
      <c r="Z36" s="218">
        <f>'Données à saisir'!E33</f>
        <v>0</v>
      </c>
      <c r="AC36" s="69"/>
      <c r="AD36" s="48"/>
      <c r="AE36" s="48"/>
      <c r="AF36" s="48"/>
      <c r="AG36" s="64"/>
      <c r="AH36" s="64"/>
      <c r="AI36" s="71"/>
      <c r="AL36" s="290"/>
      <c r="AM36" s="291"/>
      <c r="AN36" s="291"/>
      <c r="AO36" s="291"/>
      <c r="AP36" s="291"/>
      <c r="AQ36" s="291"/>
      <c r="AR36" s="291"/>
      <c r="AS36" s="291"/>
      <c r="AT36" s="292"/>
      <c r="AW36" s="124" t="str">
        <f>AC42</f>
        <v>Charges sociales responsable(s)</v>
      </c>
      <c r="AX36" s="48"/>
      <c r="AY36" s="48"/>
      <c r="AZ36" s="101">
        <f t="shared" si="17"/>
        <v>740</v>
      </c>
      <c r="BA36" s="101">
        <f t="shared" si="17"/>
        <v>740</v>
      </c>
      <c r="BB36" s="101">
        <f t="shared" si="17"/>
        <v>740</v>
      </c>
      <c r="BC36" s="101">
        <f t="shared" si="17"/>
        <v>740</v>
      </c>
      <c r="BD36" s="120">
        <f t="shared" si="17"/>
        <v>740</v>
      </c>
      <c r="BG36" s="167">
        <f t="shared" si="18"/>
        <v>740</v>
      </c>
      <c r="BH36" s="101">
        <f t="shared" si="18"/>
        <v>740</v>
      </c>
      <c r="BI36" s="101">
        <f t="shared" si="18"/>
        <v>740</v>
      </c>
      <c r="BJ36" s="101">
        <f t="shared" si="18"/>
        <v>740</v>
      </c>
      <c r="BK36" s="101">
        <f t="shared" si="18"/>
        <v>740</v>
      </c>
      <c r="BL36" s="101">
        <f t="shared" si="18"/>
        <v>740</v>
      </c>
      <c r="BM36" s="133">
        <f t="shared" si="18"/>
        <v>740</v>
      </c>
      <c r="BN36" s="171">
        <f t="shared" si="15"/>
        <v>8880</v>
      </c>
    </row>
    <row r="37" spans="2:66" ht="15" customHeight="1" thickBot="1" x14ac:dyDescent="0.3">
      <c r="B37" s="29"/>
      <c r="C37" s="30"/>
      <c r="D37" s="30"/>
      <c r="E37" s="30"/>
      <c r="F37" s="30"/>
      <c r="G37" s="30"/>
      <c r="H37" s="31"/>
      <c r="K37" s="44" t="s">
        <v>53</v>
      </c>
      <c r="L37" s="19"/>
      <c r="M37" s="19"/>
      <c r="N37" s="19"/>
      <c r="O37" s="19"/>
      <c r="P37" s="19"/>
      <c r="Q37" s="43">
        <f>IF(ISBLANK('Données à saisir'!B46),0,'Données à saisir'!B46)</f>
        <v>0</v>
      </c>
      <c r="T37" s="44" t="str">
        <f>K15</f>
        <v>Logiciels, formations</v>
      </c>
      <c r="U37" s="19"/>
      <c r="V37" s="19"/>
      <c r="W37" s="19"/>
      <c r="X37" s="111">
        <f>'Données à saisir'!C34</f>
        <v>400</v>
      </c>
      <c r="Y37" s="111">
        <f>'Données à saisir'!D34</f>
        <v>400</v>
      </c>
      <c r="Z37" s="218">
        <f>'Données à saisir'!E34</f>
        <v>400</v>
      </c>
      <c r="AC37" s="65" t="s">
        <v>82</v>
      </c>
      <c r="AD37" s="66"/>
      <c r="AE37" s="66"/>
      <c r="AF37" s="66"/>
      <c r="AG37" s="67">
        <f>AG18-AG19</f>
        <v>87440</v>
      </c>
      <c r="AH37" s="67">
        <f>AH18-AH19</f>
        <v>91615</v>
      </c>
      <c r="AI37" s="68">
        <f>AI18-AI19</f>
        <v>96214.25</v>
      </c>
      <c r="AW37" s="65" t="s">
        <v>139</v>
      </c>
      <c r="AX37" s="66"/>
      <c r="AY37" s="66"/>
      <c r="AZ37" s="67">
        <f>SUM(AZ33:AZ36)</f>
        <v>5916</v>
      </c>
      <c r="BA37" s="67">
        <f t="shared" ref="BA37:BM37" si="19">SUM(BA33:BA36)</f>
        <v>5916</v>
      </c>
      <c r="BB37" s="67">
        <f t="shared" si="19"/>
        <v>5916</v>
      </c>
      <c r="BC37" s="67">
        <f t="shared" si="19"/>
        <v>5916</v>
      </c>
      <c r="BD37" s="68">
        <f t="shared" si="19"/>
        <v>5916</v>
      </c>
      <c r="BG37" s="168">
        <f t="shared" si="19"/>
        <v>5916</v>
      </c>
      <c r="BH37" s="67">
        <f t="shared" si="19"/>
        <v>5916</v>
      </c>
      <c r="BI37" s="67">
        <f t="shared" si="19"/>
        <v>5916</v>
      </c>
      <c r="BJ37" s="67">
        <f t="shared" si="19"/>
        <v>5916</v>
      </c>
      <c r="BK37" s="67">
        <f t="shared" si="19"/>
        <v>5916</v>
      </c>
      <c r="BL37" s="67">
        <f t="shared" si="19"/>
        <v>5916</v>
      </c>
      <c r="BM37" s="132">
        <f t="shared" si="19"/>
        <v>5916</v>
      </c>
      <c r="BN37" s="170">
        <f t="shared" si="15"/>
        <v>70992</v>
      </c>
    </row>
    <row r="38" spans="2:66" ht="15" customHeight="1" thickTop="1" x14ac:dyDescent="0.25">
      <c r="K38" s="44" t="s">
        <v>178</v>
      </c>
      <c r="L38" s="19"/>
      <c r="M38" s="19"/>
      <c r="N38" s="19"/>
      <c r="O38" s="19"/>
      <c r="P38" s="19"/>
      <c r="Q38" s="43">
        <f>IF(ISBLANK('Données à saisir'!B47),0,'Données à saisir'!B47)</f>
        <v>6000</v>
      </c>
      <c r="T38" s="44" t="str">
        <f>K18</f>
        <v>Frais de dossier</v>
      </c>
      <c r="U38" s="19"/>
      <c r="V38" s="19"/>
      <c r="W38" s="19"/>
      <c r="X38" s="111">
        <f>'Données à saisir'!C35</f>
        <v>80</v>
      </c>
      <c r="Y38" s="111">
        <f>'Données à saisir'!D35</f>
        <v>80</v>
      </c>
      <c r="Z38" s="218">
        <f>'Données à saisir'!E35</f>
        <v>80</v>
      </c>
      <c r="AC38" s="47" t="s">
        <v>58</v>
      </c>
      <c r="AD38" s="48"/>
      <c r="AE38" s="48"/>
      <c r="AF38" s="48"/>
      <c r="AG38" s="60">
        <f>IF(ISBLANK('Données à saisir'!B78),0,'Données à saisir'!B78)</f>
        <v>600</v>
      </c>
      <c r="AH38" s="60">
        <f>IF(ISBLANK('Données à saisir'!C78),0,'Données à saisir'!C78)</f>
        <v>600</v>
      </c>
      <c r="AI38" s="57">
        <f>IF(ISBLANK('Données à saisir'!D78),0,'Données à saisir'!D78)</f>
        <v>600</v>
      </c>
      <c r="AW38" s="124" t="str">
        <f>AC44</f>
        <v>Frais bancaires, charges financières</v>
      </c>
      <c r="AX38" s="50"/>
      <c r="AY38" s="50"/>
      <c r="AZ38" s="101">
        <f>$AG44/12</f>
        <v>31.582170159781867</v>
      </c>
      <c r="BA38" s="101">
        <f>$AG44/12</f>
        <v>31.582170159781867</v>
      </c>
      <c r="BB38" s="101">
        <f>$AG44/12</f>
        <v>31.582170159781867</v>
      </c>
      <c r="BC38" s="101">
        <f>$AG44/12</f>
        <v>31.582170159781867</v>
      </c>
      <c r="BD38" s="120">
        <f>$AG44/12</f>
        <v>31.582170159781867</v>
      </c>
      <c r="BG38" s="167">
        <f t="shared" ref="BG38:BM38" si="20">$AG44/12</f>
        <v>31.582170159781867</v>
      </c>
      <c r="BH38" s="101">
        <f t="shared" si="20"/>
        <v>31.582170159781867</v>
      </c>
      <c r="BI38" s="101">
        <f t="shared" si="20"/>
        <v>31.582170159781867</v>
      </c>
      <c r="BJ38" s="101">
        <f t="shared" si="20"/>
        <v>31.582170159781867</v>
      </c>
      <c r="BK38" s="101">
        <f t="shared" si="20"/>
        <v>31.582170159781867</v>
      </c>
      <c r="BL38" s="101">
        <f t="shared" si="20"/>
        <v>31.582170159781867</v>
      </c>
      <c r="BM38" s="133">
        <f t="shared" si="20"/>
        <v>31.582170159781867</v>
      </c>
      <c r="BN38" s="171">
        <f t="shared" si="15"/>
        <v>378.98604191738241</v>
      </c>
    </row>
    <row r="39" spans="2:66" ht="15" customHeight="1" x14ac:dyDescent="0.25">
      <c r="K39" s="39" t="s">
        <v>48</v>
      </c>
      <c r="L39" s="19"/>
      <c r="M39" s="19"/>
      <c r="N39" s="247" t="s">
        <v>88</v>
      </c>
      <c r="O39" s="247" t="s">
        <v>89</v>
      </c>
      <c r="P39" s="19"/>
      <c r="Q39" s="42">
        <f>SUM(Q40:Q42)</f>
        <v>49100</v>
      </c>
      <c r="T39" s="44"/>
      <c r="U39" s="19"/>
      <c r="V39" s="19"/>
      <c r="W39" s="19"/>
      <c r="X39" s="111"/>
      <c r="Y39" s="111"/>
      <c r="Z39" s="218"/>
      <c r="AC39" s="47" t="s">
        <v>15</v>
      </c>
      <c r="AD39" s="48"/>
      <c r="AE39" s="48"/>
      <c r="AF39" s="48"/>
      <c r="AG39" s="60">
        <f>'Données à saisir'!B116</f>
        <v>28800</v>
      </c>
      <c r="AH39" s="60">
        <f>'Données à saisir'!C116</f>
        <v>30000</v>
      </c>
      <c r="AI39" s="57">
        <f>'Données à saisir'!D116</f>
        <v>30000</v>
      </c>
      <c r="AW39" s="65" t="s">
        <v>140</v>
      </c>
      <c r="AX39" s="66"/>
      <c r="AY39" s="66"/>
      <c r="AZ39" s="67">
        <f>SUM(AZ27:AZ32,AZ37:AZ38)</f>
        <v>74104.248836826446</v>
      </c>
      <c r="BA39" s="67">
        <f>SUM(BA27:BA32,BA37:BA38)</f>
        <v>9004.2488368264494</v>
      </c>
      <c r="BB39" s="67">
        <f>SUM(BB27:BB32,BB37:BB38)</f>
        <v>9004.2488368264494</v>
      </c>
      <c r="BC39" s="67">
        <f>SUM(BC27:BC32,BC37:BC38)</f>
        <v>9004.2488368264494</v>
      </c>
      <c r="BD39" s="68">
        <f>SUM(BD27:BD32,BD37:BD38)</f>
        <v>9004.2488368264494</v>
      </c>
      <c r="BG39" s="168">
        <f t="shared" ref="BG39:BM39" si="21">SUM(BG27:BG32,BG37:BG38)</f>
        <v>9004.2488368264494</v>
      </c>
      <c r="BH39" s="67">
        <f t="shared" si="21"/>
        <v>9004.2488368264494</v>
      </c>
      <c r="BI39" s="67">
        <f t="shared" si="21"/>
        <v>9004.2488368264494</v>
      </c>
      <c r="BJ39" s="67">
        <f t="shared" si="21"/>
        <v>9004.2488368264494</v>
      </c>
      <c r="BK39" s="67">
        <f t="shared" si="21"/>
        <v>9004.2488368264494</v>
      </c>
      <c r="BL39" s="67">
        <f t="shared" si="21"/>
        <v>9004.2488368264494</v>
      </c>
      <c r="BM39" s="132">
        <f t="shared" si="21"/>
        <v>9004.2488368264494</v>
      </c>
      <c r="BN39" s="170">
        <f t="shared" si="15"/>
        <v>173150.98604191735</v>
      </c>
    </row>
    <row r="40" spans="2:66" ht="15" customHeight="1" thickBot="1" x14ac:dyDescent="0.3">
      <c r="K40" s="44" t="str">
        <f>IF(ISBLANK('Données à saisir'!A48),"",'Données à saisir'!A48)</f>
        <v>Prêt bancaire</v>
      </c>
      <c r="L40" s="19"/>
      <c r="M40" s="19"/>
      <c r="N40" s="212">
        <f>IF(ISBLANK('Données à saisir'!C48),"",'Données à saisir'!C48)</f>
        <v>1.4999999999999999E-2</v>
      </c>
      <c r="O40" s="94">
        <f>IF(ISBLANK('Données à saisir'!D48),"",'Données à saisir'!D48)</f>
        <v>60</v>
      </c>
      <c r="P40" s="19"/>
      <c r="Q40" s="43">
        <f>IF(ISBLANK('Données à saisir'!B48),0,'Données à saisir'!B48)</f>
        <v>49100</v>
      </c>
      <c r="T40" s="105" t="s">
        <v>96</v>
      </c>
      <c r="U40" s="35"/>
      <c r="V40" s="35"/>
      <c r="W40" s="35"/>
      <c r="X40" s="108">
        <f>SUM(X42:X46)</f>
        <v>12100</v>
      </c>
      <c r="Y40" s="108">
        <f>SUM(Y42:Y46)</f>
        <v>12100</v>
      </c>
      <c r="Z40" s="219">
        <f>SUM(Z42:Z46)</f>
        <v>12100</v>
      </c>
      <c r="AC40" s="124" t="s">
        <v>16</v>
      </c>
      <c r="AD40" s="174"/>
      <c r="AE40" s="174"/>
      <c r="AF40" s="174"/>
      <c r="AG40" s="101">
        <f>'Données à saisir'!B125</f>
        <v>21312</v>
      </c>
      <c r="AH40" s="101">
        <f>'Données à saisir'!C125</f>
        <v>22200</v>
      </c>
      <c r="AI40" s="120">
        <f>'Données à saisir'!D125</f>
        <v>22200</v>
      </c>
      <c r="AO40" s="295" t="s">
        <v>28</v>
      </c>
      <c r="AP40" s="126"/>
      <c r="AQ40" s="293" t="s">
        <v>29</v>
      </c>
      <c r="AR40" s="135"/>
      <c r="AS40" s="293" t="s">
        <v>30</v>
      </c>
      <c r="AT40" s="83"/>
      <c r="AW40" s="65" t="s">
        <v>142</v>
      </c>
      <c r="AX40" s="66"/>
      <c r="AY40" s="66"/>
      <c r="AZ40" s="67">
        <f>SUM(AZ15:AZ23)</f>
        <v>95200</v>
      </c>
      <c r="BA40" s="67">
        <f t="shared" ref="BA40:BD40" si="22">SUM(BA15:BA23)</f>
        <v>86600</v>
      </c>
      <c r="BB40" s="67">
        <f t="shared" si="22"/>
        <v>100</v>
      </c>
      <c r="BC40" s="67">
        <f t="shared" si="22"/>
        <v>100</v>
      </c>
      <c r="BD40" s="68">
        <f t="shared" si="22"/>
        <v>100</v>
      </c>
      <c r="BG40" s="168">
        <f t="shared" ref="BG40:BM40" si="23">SUM(BG15:BG23)</f>
        <v>600</v>
      </c>
      <c r="BH40" s="67">
        <f t="shared" si="23"/>
        <v>100</v>
      </c>
      <c r="BI40" s="67">
        <f t="shared" si="23"/>
        <v>100</v>
      </c>
      <c r="BJ40" s="67">
        <f t="shared" si="23"/>
        <v>100</v>
      </c>
      <c r="BK40" s="67">
        <f t="shared" si="23"/>
        <v>600</v>
      </c>
      <c r="BL40" s="67">
        <f t="shared" si="23"/>
        <v>100</v>
      </c>
      <c r="BM40" s="132">
        <f t="shared" si="23"/>
        <v>100</v>
      </c>
      <c r="BN40" s="170">
        <f t="shared" ref="BN40" si="24">SUM(AZ40:BM40)</f>
        <v>183800</v>
      </c>
    </row>
    <row r="41" spans="2:66" ht="15" customHeight="1" thickTop="1" x14ac:dyDescent="0.25">
      <c r="B41" s="24"/>
      <c r="C41" s="25"/>
      <c r="D41" s="25"/>
      <c r="E41" s="25"/>
      <c r="F41" s="25"/>
      <c r="G41" s="25"/>
      <c r="H41" s="26"/>
      <c r="K41" s="44" t="str">
        <f>IF(ISBLANK('Données à saisir'!A49),"",'Données à saisir'!A49)</f>
        <v/>
      </c>
      <c r="L41" s="19"/>
      <c r="M41" s="19"/>
      <c r="N41" s="212" t="str">
        <f>IF(ISBLANK('Données à saisir'!C49),"",'Données à saisir'!C49)</f>
        <v/>
      </c>
      <c r="O41" s="94" t="str">
        <f>IF(ISBLANK('Données à saisir'!D49),"",'Données à saisir'!D49)</f>
        <v/>
      </c>
      <c r="P41" s="19"/>
      <c r="Q41" s="43">
        <f>IF(ISBLANK('Données à saisir'!B49),0,'Données à saisir'!B49)</f>
        <v>0</v>
      </c>
      <c r="T41" s="36"/>
      <c r="U41" s="19"/>
      <c r="V41" s="19"/>
      <c r="W41" s="19"/>
      <c r="X41" s="216"/>
      <c r="Y41" s="216"/>
      <c r="Z41" s="217"/>
      <c r="AC41" s="47" t="s">
        <v>199</v>
      </c>
      <c r="AD41" s="48"/>
      <c r="AE41" s="48"/>
      <c r="AF41" s="48"/>
      <c r="AG41" s="60">
        <f>'Données à saisir'!B117</f>
        <v>12000</v>
      </c>
      <c r="AH41" s="60">
        <f>'Données à saisir'!C117</f>
        <v>14000</v>
      </c>
      <c r="AI41" s="57">
        <f>'Données à saisir'!D117</f>
        <v>16000</v>
      </c>
      <c r="AL41" s="54"/>
      <c r="AO41" s="296"/>
      <c r="AP41" s="127"/>
      <c r="AQ41" s="294"/>
      <c r="AR41" s="136"/>
      <c r="AS41" s="294"/>
      <c r="AT41" s="131"/>
      <c r="AW41" s="124" t="s">
        <v>141</v>
      </c>
      <c r="AX41" s="48"/>
      <c r="AY41" s="48"/>
      <c r="AZ41" s="64">
        <v>0</v>
      </c>
      <c r="BA41" s="101">
        <f>AZ43</f>
        <v>21095.751163173554</v>
      </c>
      <c r="BB41" s="101">
        <f>BA43</f>
        <v>98691.502326347108</v>
      </c>
      <c r="BC41" s="101">
        <f>BB43</f>
        <v>89787.253489520663</v>
      </c>
      <c r="BD41" s="157">
        <f>BC43</f>
        <v>80883.004652694217</v>
      </c>
      <c r="BG41" s="167">
        <f>BD43</f>
        <v>71978.755815867771</v>
      </c>
      <c r="BH41" s="101">
        <f t="shared" ref="BH41:BM41" si="25">BG43</f>
        <v>63574.506979041325</v>
      </c>
      <c r="BI41" s="101">
        <f t="shared" si="25"/>
        <v>54670.25814221488</v>
      </c>
      <c r="BJ41" s="101">
        <f t="shared" si="25"/>
        <v>45766.009305388434</v>
      </c>
      <c r="BK41" s="101">
        <f t="shared" si="25"/>
        <v>36861.760468561988</v>
      </c>
      <c r="BL41" s="101">
        <f t="shared" si="25"/>
        <v>28457.511631735539</v>
      </c>
      <c r="BM41" s="133">
        <f t="shared" si="25"/>
        <v>19553.262794909089</v>
      </c>
      <c r="BN41" s="171"/>
    </row>
    <row r="42" spans="2:66" ht="15" customHeight="1" x14ac:dyDescent="0.25">
      <c r="B42" s="27"/>
      <c r="C42" s="324" t="str">
        <f>IF(ISBLANK('Données à saisir'!B8),"",('Données à saisir'!B8))</f>
        <v/>
      </c>
      <c r="D42" s="324"/>
      <c r="E42" s="324"/>
      <c r="F42" s="324"/>
      <c r="G42" s="324"/>
      <c r="H42" s="28"/>
      <c r="K42" s="44" t="str">
        <f>IF(ISBLANK('Données à saisir'!A50),"",'Données à saisir'!A50)</f>
        <v/>
      </c>
      <c r="L42" s="19"/>
      <c r="M42" s="19"/>
      <c r="N42" s="212" t="str">
        <f>IF(ISBLANK('Données à saisir'!C50),"",'Données à saisir'!C50)</f>
        <v/>
      </c>
      <c r="O42" s="94" t="str">
        <f>IF(ISBLANK('Données à saisir'!D50),"",'Données à saisir'!D50)</f>
        <v/>
      </c>
      <c r="P42" s="19"/>
      <c r="Q42" s="43">
        <f>IF(ISBLANK('Données à saisir'!B50),0,'Données à saisir'!B50)</f>
        <v>0</v>
      </c>
      <c r="T42" s="44" t="str">
        <f>K21</f>
        <v>Eléments de communication</v>
      </c>
      <c r="U42" s="19"/>
      <c r="V42" s="19"/>
      <c r="W42" s="19"/>
      <c r="X42" s="111">
        <f>'Données à saisir'!C36</f>
        <v>300</v>
      </c>
      <c r="Y42" s="111">
        <f>'Données à saisir'!D36</f>
        <v>300</v>
      </c>
      <c r="Z42" s="218">
        <f>'Données à saisir'!E36</f>
        <v>300</v>
      </c>
      <c r="AC42" s="124" t="s">
        <v>200</v>
      </c>
      <c r="AD42" s="174"/>
      <c r="AE42" s="174"/>
      <c r="AF42" s="91"/>
      <c r="AG42" s="101">
        <f>'Données à saisir'!B126</f>
        <v>8880</v>
      </c>
      <c r="AH42" s="101">
        <f>'Données à saisir'!C126</f>
        <v>10360</v>
      </c>
      <c r="AI42" s="120">
        <f>'Données à saisir'!D126</f>
        <v>11840</v>
      </c>
      <c r="AL42" s="65" t="s">
        <v>203</v>
      </c>
      <c r="AM42" s="66"/>
      <c r="AN42" s="66"/>
      <c r="AO42" s="132">
        <f>AO26</f>
        <v>2889.0139580826176</v>
      </c>
      <c r="AP42" s="137"/>
      <c r="AQ42" s="132">
        <f>AQ26</f>
        <v>1496.0139580826176</v>
      </c>
      <c r="AR42" s="137"/>
      <c r="AS42" s="129">
        <f>AS26</f>
        <v>2615.2639580826176</v>
      </c>
      <c r="AT42" s="68"/>
      <c r="AW42" s="72" t="s">
        <v>146</v>
      </c>
      <c r="AX42" s="54"/>
      <c r="AY42" s="54"/>
      <c r="AZ42" s="60">
        <f>AZ40-AZ39</f>
        <v>21095.751163173554</v>
      </c>
      <c r="BA42" s="60">
        <f t="shared" ref="BA42:BM42" si="26">BA40-BA39</f>
        <v>77595.751163173554</v>
      </c>
      <c r="BB42" s="60">
        <f t="shared" si="26"/>
        <v>-8904.2488368264494</v>
      </c>
      <c r="BC42" s="60">
        <f t="shared" si="26"/>
        <v>-8904.2488368264494</v>
      </c>
      <c r="BD42" s="70">
        <f t="shared" si="26"/>
        <v>-8904.2488368264494</v>
      </c>
      <c r="BE42" s="1"/>
      <c r="BF42" s="1"/>
      <c r="BG42" s="181">
        <f t="shared" si="26"/>
        <v>-8404.2488368264494</v>
      </c>
      <c r="BH42" s="60">
        <f t="shared" si="26"/>
        <v>-8904.2488368264494</v>
      </c>
      <c r="BI42" s="60">
        <f t="shared" si="26"/>
        <v>-8904.2488368264494</v>
      </c>
      <c r="BJ42" s="60">
        <f t="shared" si="26"/>
        <v>-8904.2488368264494</v>
      </c>
      <c r="BK42" s="60">
        <f t="shared" si="26"/>
        <v>-8404.2488368264494</v>
      </c>
      <c r="BL42" s="60">
        <f t="shared" si="26"/>
        <v>-8904.2488368264494</v>
      </c>
      <c r="BM42" s="74">
        <f t="shared" si="26"/>
        <v>-8904.2488368264494</v>
      </c>
      <c r="BN42" s="178"/>
    </row>
    <row r="43" spans="2:66" ht="15" customHeight="1" x14ac:dyDescent="0.25">
      <c r="B43" s="27"/>
      <c r="C43" s="326" t="str">
        <f>IF(ISBLANK('Données à saisir'!B9),"",('Données à saisir'!B9))</f>
        <v/>
      </c>
      <c r="D43" s="326"/>
      <c r="E43" s="326"/>
      <c r="F43" s="326"/>
      <c r="G43" s="326"/>
      <c r="H43" s="28"/>
      <c r="K43" s="39" t="str">
        <f>IF(ISBLANK('Données à saisir'!A51),"",'Données à saisir'!A51)</f>
        <v>Subvention</v>
      </c>
      <c r="L43" s="19"/>
      <c r="M43" s="19"/>
      <c r="N43" s="19"/>
      <c r="O43" s="19"/>
      <c r="P43" s="19"/>
      <c r="Q43" s="42">
        <f>IF(ISBLANK('Données à saisir'!B51),0,'Données à saisir'!B51)</f>
        <v>5000</v>
      </c>
      <c r="T43" s="44" t="str">
        <f>K22</f>
        <v>Achat immobilier</v>
      </c>
      <c r="U43" s="19"/>
      <c r="V43" s="19"/>
      <c r="W43" s="19"/>
      <c r="X43" s="111">
        <f>'Données à saisir'!C37</f>
        <v>0</v>
      </c>
      <c r="Y43" s="111">
        <f>'Données à saisir'!D37</f>
        <v>0</v>
      </c>
      <c r="Z43" s="218">
        <f>'Données à saisir'!E37</f>
        <v>0</v>
      </c>
      <c r="AC43" s="65" t="s">
        <v>201</v>
      </c>
      <c r="AD43" s="66"/>
      <c r="AE43" s="66"/>
      <c r="AF43" s="66"/>
      <c r="AG43" s="67">
        <f>AG37-SUM(AG38:AG42)</f>
        <v>15848</v>
      </c>
      <c r="AH43" s="67">
        <f t="shared" ref="AH43:AI43" si="27">AH37-SUM(AH38:AH42)</f>
        <v>14455</v>
      </c>
      <c r="AI43" s="68">
        <f t="shared" si="27"/>
        <v>15574.25</v>
      </c>
      <c r="AL43" s="123" t="s">
        <v>105</v>
      </c>
      <c r="AM43" s="50"/>
      <c r="AN43" s="50"/>
      <c r="AO43" s="133">
        <f>AO22</f>
        <v>12580</v>
      </c>
      <c r="AP43" s="138"/>
      <c r="AQ43" s="133">
        <f>AQ22</f>
        <v>12580</v>
      </c>
      <c r="AR43" s="138"/>
      <c r="AS43" s="128">
        <f>AS22</f>
        <v>12580</v>
      </c>
      <c r="AT43" s="120"/>
      <c r="AW43" s="65" t="s">
        <v>147</v>
      </c>
      <c r="AX43" s="66"/>
      <c r="AY43" s="66"/>
      <c r="AZ43" s="67">
        <f>AZ42</f>
        <v>21095.751163173554</v>
      </c>
      <c r="BA43" s="67">
        <f>BA41+BA42</f>
        <v>98691.502326347108</v>
      </c>
      <c r="BB43" s="67">
        <f>BB41+BB42</f>
        <v>89787.253489520663</v>
      </c>
      <c r="BC43" s="67">
        <f>BC41+BC42</f>
        <v>80883.004652694217</v>
      </c>
      <c r="BD43" s="68">
        <f t="shared" ref="BD43:BM43" si="28">BD41+BD42</f>
        <v>71978.755815867771</v>
      </c>
      <c r="BG43" s="168">
        <f t="shared" si="28"/>
        <v>63574.506979041325</v>
      </c>
      <c r="BH43" s="67">
        <f t="shared" si="28"/>
        <v>54670.25814221488</v>
      </c>
      <c r="BI43" s="67">
        <f t="shared" si="28"/>
        <v>45766.009305388434</v>
      </c>
      <c r="BJ43" s="67">
        <f t="shared" si="28"/>
        <v>36861.760468561988</v>
      </c>
      <c r="BK43" s="67">
        <f t="shared" si="28"/>
        <v>28457.511631735539</v>
      </c>
      <c r="BL43" s="67">
        <f t="shared" si="28"/>
        <v>19553.262794909089</v>
      </c>
      <c r="BM43" s="132">
        <f t="shared" si="28"/>
        <v>10649.01395808264</v>
      </c>
      <c r="BN43" s="170"/>
    </row>
    <row r="44" spans="2:66" ht="15" customHeight="1" x14ac:dyDescent="0.25">
      <c r="B44" s="27"/>
      <c r="C44" s="325" t="str">
        <f>IF(ISBLANK('Données à saisir'!B10),"",('Données à saisir'!B10))</f>
        <v/>
      </c>
      <c r="D44" s="325"/>
      <c r="E44" s="325"/>
      <c r="F44" s="325"/>
      <c r="G44" s="325"/>
      <c r="H44" s="28"/>
      <c r="K44" s="39" t="str">
        <f>IF(ISBLANK('Données à saisir'!A52),"",'Données à saisir'!A52)</f>
        <v/>
      </c>
      <c r="L44" s="19"/>
      <c r="M44" s="19"/>
      <c r="N44" s="19"/>
      <c r="O44" s="19"/>
      <c r="P44" s="19"/>
      <c r="Q44" s="42">
        <f>IF(ISBLANK('Données à saisir'!B52),0,'Données à saisir'!B52)</f>
        <v>0</v>
      </c>
      <c r="T44" s="44" t="str">
        <f>K23</f>
        <v>Travaux et aménagements</v>
      </c>
      <c r="U44" s="19"/>
      <c r="V44" s="19"/>
      <c r="W44" s="19"/>
      <c r="X44" s="111">
        <f>'Données à saisir'!C38</f>
        <v>4000</v>
      </c>
      <c r="Y44" s="111">
        <f>'Données à saisir'!D38</f>
        <v>4000</v>
      </c>
      <c r="Z44" s="218">
        <f>'Données à saisir'!E38</f>
        <v>4000</v>
      </c>
      <c r="AC44" s="47" t="s">
        <v>83</v>
      </c>
      <c r="AD44" s="50"/>
      <c r="AE44" s="50"/>
      <c r="AF44" s="50"/>
      <c r="AG44" s="60">
        <f>IF(ISERROR('Données à saisir'!B77+SUM('Données à saisir'!G57:G59)),0,'Données à saisir'!B77+SUM('Données à saisir'!G57:G59))</f>
        <v>378.98604191738241</v>
      </c>
      <c r="AH44" s="60">
        <f>'Données à saisir'!C77+SUM('Données à saisir'!H57:H59)</f>
        <v>378.98604191738241</v>
      </c>
      <c r="AI44" s="57">
        <f>'Données à saisir'!D77+SUM('Données à saisir'!I57:I59)</f>
        <v>378.98604191738241</v>
      </c>
      <c r="AL44" s="65" t="s">
        <v>103</v>
      </c>
      <c r="AM44" s="66"/>
      <c r="AN44" s="66"/>
      <c r="AO44" s="132">
        <f>AO42+AO43</f>
        <v>15469.013958082618</v>
      </c>
      <c r="AP44" s="137"/>
      <c r="AQ44" s="132">
        <f t="shared" ref="AQ44:AS44" si="29">AQ42+AQ43</f>
        <v>14076.013958082618</v>
      </c>
      <c r="AR44" s="137"/>
      <c r="AS44" s="129">
        <f t="shared" si="29"/>
        <v>15195.263958082618</v>
      </c>
      <c r="AT44" s="68"/>
      <c r="AW44" s="124"/>
      <c r="AX44" s="48"/>
      <c r="AY44" s="48"/>
      <c r="AZ44" s="182" t="str">
        <f>IF(AZ43&lt;0,AZ43,"")</f>
        <v/>
      </c>
      <c r="BA44" s="182" t="str">
        <f t="shared" ref="BA44:BM44" si="30">IF(BA43&lt;0,BA43,"")</f>
        <v/>
      </c>
      <c r="BB44" s="182" t="str">
        <f t="shared" si="30"/>
        <v/>
      </c>
      <c r="BC44" s="182" t="str">
        <f t="shared" si="30"/>
        <v/>
      </c>
      <c r="BD44" s="183" t="str">
        <f t="shared" si="30"/>
        <v/>
      </c>
      <c r="BE44" s="184" t="str">
        <f t="shared" si="30"/>
        <v/>
      </c>
      <c r="BF44" s="184" t="str">
        <f t="shared" si="30"/>
        <v/>
      </c>
      <c r="BG44" s="185" t="str">
        <f t="shared" si="30"/>
        <v/>
      </c>
      <c r="BH44" s="182" t="str">
        <f t="shared" si="30"/>
        <v/>
      </c>
      <c r="BI44" s="182" t="str">
        <f t="shared" si="30"/>
        <v/>
      </c>
      <c r="BJ44" s="182" t="str">
        <f t="shared" si="30"/>
        <v/>
      </c>
      <c r="BK44" s="182" t="str">
        <f t="shared" si="30"/>
        <v/>
      </c>
      <c r="BL44" s="182" t="str">
        <f t="shared" si="30"/>
        <v/>
      </c>
      <c r="BM44" s="186" t="str">
        <f t="shared" si="30"/>
        <v/>
      </c>
      <c r="BN44" s="200">
        <f>SUM(AZ44:BM44)</f>
        <v>0</v>
      </c>
    </row>
    <row r="45" spans="2:66" ht="15" customHeight="1" thickBot="1" x14ac:dyDescent="0.3">
      <c r="B45" s="27"/>
      <c r="C45" s="19"/>
      <c r="D45" s="19"/>
      <c r="E45" s="19"/>
      <c r="F45" s="19"/>
      <c r="G45" s="19"/>
      <c r="H45" s="28"/>
      <c r="K45" s="39" t="str">
        <f>IF(ISBLANK('Données à saisir'!A53),"",'Données à saisir'!A53)</f>
        <v>Autre financement</v>
      </c>
      <c r="L45" s="19"/>
      <c r="M45" s="19"/>
      <c r="N45" s="19"/>
      <c r="O45" s="19"/>
      <c r="P45" s="19"/>
      <c r="Q45" s="42" t="str">
        <f>IF(ISBLANK('Données à saisir'!B53),"",'Données à saisir'!B53)</f>
        <v/>
      </c>
      <c r="T45" s="44" t="str">
        <f>K24</f>
        <v>Matériel</v>
      </c>
      <c r="U45" s="19"/>
      <c r="V45" s="19"/>
      <c r="W45" s="19"/>
      <c r="X45" s="111">
        <f>'Données à saisir'!C39</f>
        <v>7000</v>
      </c>
      <c r="Y45" s="111">
        <f>'Données à saisir'!D39</f>
        <v>7000</v>
      </c>
      <c r="Z45" s="218">
        <f>'Données à saisir'!E39</f>
        <v>7000</v>
      </c>
      <c r="AC45" s="47" t="s">
        <v>59</v>
      </c>
      <c r="AD45" s="50"/>
      <c r="AE45" s="50"/>
      <c r="AF45" s="50"/>
      <c r="AG45" s="60">
        <f>'Données à saisir'!C32</f>
        <v>12580</v>
      </c>
      <c r="AH45" s="60">
        <f>'Données à saisir'!D32</f>
        <v>12580</v>
      </c>
      <c r="AI45" s="57">
        <f>'Données à saisir'!E32</f>
        <v>12580</v>
      </c>
      <c r="AL45" s="124" t="s">
        <v>106</v>
      </c>
      <c r="AM45" s="48"/>
      <c r="AN45" s="48"/>
      <c r="AO45" s="133">
        <f>IF(ISERROR(SUM('Données à saisir'!J57:J59)),0,SUM('Données à saisir'!J57:J59))</f>
        <v>9820</v>
      </c>
      <c r="AP45" s="138"/>
      <c r="AQ45" s="133">
        <f>SUM('Données à saisir'!K57:K59)</f>
        <v>9820</v>
      </c>
      <c r="AR45" s="138"/>
      <c r="AS45" s="128">
        <f>SUM('Données à saisir'!L57:L59)</f>
        <v>9820</v>
      </c>
      <c r="AT45" s="120"/>
      <c r="AW45" s="156"/>
      <c r="AX45" s="52"/>
      <c r="AY45" s="52"/>
      <c r="AZ45" s="257"/>
      <c r="BA45" s="257"/>
      <c r="BB45" s="257"/>
      <c r="BC45" s="257"/>
      <c r="BD45" s="258"/>
      <c r="BE45" s="256"/>
      <c r="BF45" s="256"/>
      <c r="BG45" s="259"/>
      <c r="BH45" s="257"/>
      <c r="BI45" s="257"/>
      <c r="BJ45" s="257"/>
      <c r="BK45" s="257"/>
      <c r="BL45" s="257"/>
      <c r="BM45" s="260"/>
      <c r="BN45" s="261"/>
    </row>
    <row r="46" spans="2:66" ht="15" customHeight="1" x14ac:dyDescent="0.25">
      <c r="B46" s="27"/>
      <c r="C46" s="19"/>
      <c r="D46" s="19"/>
      <c r="E46" s="19"/>
      <c r="F46" s="19"/>
      <c r="G46" s="19"/>
      <c r="H46" s="28"/>
      <c r="K46" s="36"/>
      <c r="L46" s="19"/>
      <c r="M46" s="19"/>
      <c r="N46" s="19"/>
      <c r="O46" s="19"/>
      <c r="P46" s="19"/>
      <c r="Q46" s="46"/>
      <c r="T46" s="44" t="str">
        <f>K25</f>
        <v>Matériel de bureau</v>
      </c>
      <c r="U46" s="19"/>
      <c r="V46" s="19"/>
      <c r="W46" s="19"/>
      <c r="X46" s="111">
        <f>'Données à saisir'!C40</f>
        <v>800</v>
      </c>
      <c r="Y46" s="111">
        <f>'Données à saisir'!D40</f>
        <v>800</v>
      </c>
      <c r="Z46" s="218">
        <f>'Données à saisir'!E40</f>
        <v>800</v>
      </c>
      <c r="AC46" s="103"/>
      <c r="AD46" s="37"/>
      <c r="AE46" s="37"/>
      <c r="AF46" s="37"/>
      <c r="AG46" s="220"/>
      <c r="AH46" s="220"/>
      <c r="AI46" s="104"/>
      <c r="AL46" s="121" t="s">
        <v>107</v>
      </c>
      <c r="AM46" s="122"/>
      <c r="AN46" s="122"/>
      <c r="AO46" s="134">
        <f>AO44-AO45</f>
        <v>5649.013958082618</v>
      </c>
      <c r="AP46" s="139"/>
      <c r="AQ46" s="134">
        <f>AQ44-AQ45</f>
        <v>4256.013958082618</v>
      </c>
      <c r="AR46" s="139"/>
      <c r="AS46" s="130">
        <f>AS44-AS45</f>
        <v>5375.263958082618</v>
      </c>
      <c r="AT46" s="59"/>
      <c r="AW46" s="98"/>
      <c r="AX46" s="48"/>
      <c r="AY46" s="48"/>
      <c r="AZ46" s="128"/>
      <c r="BA46" s="128"/>
      <c r="BB46" s="128"/>
      <c r="BC46" s="128"/>
      <c r="BD46" s="95"/>
    </row>
    <row r="47" spans="2:66" ht="15" customHeight="1" x14ac:dyDescent="0.25">
      <c r="B47" s="27"/>
      <c r="C47" s="321">
        <f ca="1">TODAY()</f>
        <v>43527</v>
      </c>
      <c r="D47" s="322"/>
      <c r="E47" s="322"/>
      <c r="F47" s="322"/>
      <c r="G47" s="322"/>
      <c r="H47" s="28"/>
      <c r="K47" s="36"/>
      <c r="L47" s="19"/>
      <c r="M47" s="19"/>
      <c r="N47" s="19"/>
      <c r="O47" s="20" t="s">
        <v>54</v>
      </c>
      <c r="P47" s="229"/>
      <c r="Q47" s="45">
        <f>SUM(Q35,Q39,Q43:Q45)</f>
        <v>70100</v>
      </c>
      <c r="T47" s="103"/>
      <c r="U47" s="37"/>
      <c r="V47" s="37"/>
      <c r="W47" s="37"/>
      <c r="X47" s="220"/>
      <c r="Y47" s="220"/>
      <c r="Z47" s="221"/>
      <c r="AC47" s="65" t="s">
        <v>202</v>
      </c>
      <c r="AD47" s="66"/>
      <c r="AE47" s="66"/>
      <c r="AF47" s="66"/>
      <c r="AG47" s="67">
        <f>AG43-AG44-AG45</f>
        <v>2889.013958082618</v>
      </c>
      <c r="AH47" s="67">
        <f>AH43-AH44-AH45</f>
        <v>1496.013958082618</v>
      </c>
      <c r="AI47" s="68">
        <f>AI43-AI44-AI45</f>
        <v>2615.263958082618</v>
      </c>
      <c r="AW47" s="50"/>
      <c r="AX47" s="48"/>
      <c r="AY47" s="48"/>
      <c r="AZ47" s="95"/>
      <c r="BA47" s="95"/>
      <c r="BB47" s="95"/>
      <c r="BC47" s="95"/>
      <c r="BD47" s="95"/>
    </row>
    <row r="48" spans="2:66" ht="15" customHeight="1" thickBot="1" x14ac:dyDescent="0.3">
      <c r="B48" s="29"/>
      <c r="C48" s="30"/>
      <c r="D48" s="30"/>
      <c r="E48" s="30"/>
      <c r="F48" s="30"/>
      <c r="G48" s="30"/>
      <c r="H48" s="31"/>
      <c r="K48" s="103"/>
      <c r="L48" s="37"/>
      <c r="M48" s="37"/>
      <c r="N48" s="37"/>
      <c r="O48" s="37"/>
      <c r="P48" s="37"/>
      <c r="Q48" s="104"/>
      <c r="T48" s="107" t="s">
        <v>97</v>
      </c>
      <c r="U48" s="106"/>
      <c r="V48" s="106"/>
      <c r="W48" s="106"/>
      <c r="X48" s="110">
        <f>SUM(X34,X40)</f>
        <v>12580</v>
      </c>
      <c r="Y48" s="110">
        <f>SUM(Y34,Y40)</f>
        <v>12580</v>
      </c>
      <c r="Z48" s="116">
        <f>SUM(Z34,Z40)</f>
        <v>12580</v>
      </c>
      <c r="AC48" s="51"/>
      <c r="AD48" s="52"/>
      <c r="AE48" s="52"/>
      <c r="AF48" s="52"/>
      <c r="AG48" s="244"/>
      <c r="AH48" s="245"/>
      <c r="AI48" s="59"/>
      <c r="AW48" s="98"/>
      <c r="AX48" s="48"/>
      <c r="AY48" s="48"/>
      <c r="AZ48" s="95"/>
      <c r="BA48" s="95"/>
      <c r="BB48" s="95"/>
      <c r="BC48" s="128"/>
      <c r="BD48" s="95"/>
    </row>
    <row r="49" spans="8:66" s="4" customFormat="1" ht="26.25" customHeight="1" thickTop="1" x14ac:dyDescent="0.25">
      <c r="H49" s="4">
        <v>1</v>
      </c>
      <c r="Q49" s="4">
        <v>2</v>
      </c>
      <c r="Z49" s="4">
        <v>3</v>
      </c>
      <c r="AI49" s="4">
        <v>4</v>
      </c>
      <c r="AT49" s="4">
        <v>5</v>
      </c>
      <c r="BD49" s="4">
        <v>6</v>
      </c>
      <c r="BN49" s="4">
        <v>7</v>
      </c>
    </row>
    <row r="51" spans="8:66" ht="15" customHeight="1" x14ac:dyDescent="0.25">
      <c r="X51" s="90"/>
      <c r="AG51" s="90"/>
      <c r="AO51" s="90"/>
      <c r="AP51" s="90"/>
      <c r="BA51" s="165"/>
      <c r="BB51" s="165"/>
    </row>
    <row r="52" spans="8:66" ht="15" hidden="1" customHeight="1" x14ac:dyDescent="0.25">
      <c r="X52" s="90"/>
      <c r="Y52" s="90"/>
      <c r="Z52" s="90"/>
      <c r="AC52" t="s">
        <v>78</v>
      </c>
      <c r="AG52" s="90">
        <f>AG37-SUM(AG38:AG40,AG44:AG45)</f>
        <v>23769.013958082614</v>
      </c>
      <c r="AH52" s="90">
        <f>AH37-SUM(AH38:AH40,AH44:AH45)</f>
        <v>25856.013958082622</v>
      </c>
      <c r="AI52" s="90">
        <f>AI37-SUM(AI38:AI40,AI44:AI45)</f>
        <v>30455.263958082622</v>
      </c>
      <c r="AO52" s="90"/>
      <c r="AP52" s="90"/>
      <c r="AQ52" s="90"/>
      <c r="AR52" s="90"/>
      <c r="AS52" s="90"/>
      <c r="AT52" s="90"/>
      <c r="BA52" s="165"/>
      <c r="BB52" s="165"/>
      <c r="BC52" s="165"/>
      <c r="BD52" s="165"/>
    </row>
    <row r="53" spans="8:66" ht="15" customHeight="1" x14ac:dyDescent="0.25">
      <c r="AI53" s="90"/>
    </row>
    <row r="54" spans="8:66" ht="15" customHeight="1" x14ac:dyDescent="0.25">
      <c r="AG54" s="90"/>
    </row>
    <row r="55" spans="8:66" ht="15" customHeight="1" x14ac:dyDescent="0.25">
      <c r="AG55" s="90"/>
    </row>
  </sheetData>
  <sheetProtection algorithmName="SHA-512" hashValue="amfijYdwcB4BH5GdSdt1djOkC/8Vbo2/4Sgubui44WismEcJudYYsI1DJrgXM5wE7pX+01o7/bFnOa7oGF95lA==" saltValue="net7Xg8FvOHbZlfPuvv0jA==" spinCount="100000" sheet="1" objects="1" scenarios="1"/>
  <mergeCells count="45">
    <mergeCell ref="C47:G47"/>
    <mergeCell ref="C33:G35"/>
    <mergeCell ref="C42:G42"/>
    <mergeCell ref="C44:G44"/>
    <mergeCell ref="C43:G43"/>
    <mergeCell ref="C23:G25"/>
    <mergeCell ref="C28:G32"/>
    <mergeCell ref="T26:Z28"/>
    <mergeCell ref="AT11:AT12"/>
    <mergeCell ref="AL2:AT4"/>
    <mergeCell ref="B14:H20"/>
    <mergeCell ref="T2:Z4"/>
    <mergeCell ref="AI8:AI9"/>
    <mergeCell ref="AC2:AI4"/>
    <mergeCell ref="AG8:AG9"/>
    <mergeCell ref="AH8:AH9"/>
    <mergeCell ref="K2:Q4"/>
    <mergeCell ref="K9:P10"/>
    <mergeCell ref="Q9:Q10"/>
    <mergeCell ref="K32:P33"/>
    <mergeCell ref="Q32:Q33"/>
    <mergeCell ref="BL13:BL14"/>
    <mergeCell ref="BM13:BM14"/>
    <mergeCell ref="AL34:AT36"/>
    <mergeCell ref="AP11:AP12"/>
    <mergeCell ref="AR11:AR12"/>
    <mergeCell ref="AO11:AO12"/>
    <mergeCell ref="AQ11:AQ12"/>
    <mergeCell ref="AS11:AS12"/>
    <mergeCell ref="BN13:BN14"/>
    <mergeCell ref="AW2:BD4"/>
    <mergeCell ref="AS40:AS41"/>
    <mergeCell ref="AQ40:AQ41"/>
    <mergeCell ref="AO40:AO41"/>
    <mergeCell ref="BG2:BN4"/>
    <mergeCell ref="AZ13:AZ14"/>
    <mergeCell ref="BA13:BA14"/>
    <mergeCell ref="BB13:BB14"/>
    <mergeCell ref="BC13:BC14"/>
    <mergeCell ref="BD13:BD14"/>
    <mergeCell ref="BG13:BG14"/>
    <mergeCell ref="BH13:BH14"/>
    <mergeCell ref="BI13:BI14"/>
    <mergeCell ref="BJ13:BJ14"/>
    <mergeCell ref="BK13:BK1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6" manualBreakCount="6">
    <brk id="9" max="48" man="1"/>
    <brk id="18" max="48" man="1"/>
    <brk id="27" max="48" man="1"/>
    <brk id="36" max="48" man="1"/>
    <brk id="47" max="48" man="1"/>
    <brk id="57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6"/>
  <sheetViews>
    <sheetView showGridLines="0" zoomScale="110" zoomScaleNormal="110" workbookViewId="0">
      <selection activeCell="A37" sqref="A37"/>
    </sheetView>
  </sheetViews>
  <sheetFormatPr baseColWidth="10" defaultRowHeight="15" x14ac:dyDescent="0.25"/>
  <cols>
    <col min="1" max="1" width="12.42578125" bestFit="1" customWidth="1"/>
    <col min="8" max="8" width="17.7109375" customWidth="1"/>
  </cols>
  <sheetData>
    <row r="6" spans="1:9" ht="18.75" x14ac:dyDescent="0.3">
      <c r="A6" s="268" t="s">
        <v>229</v>
      </c>
    </row>
    <row r="7" spans="1:9" ht="9" customHeight="1" x14ac:dyDescent="0.3">
      <c r="A7" s="268"/>
    </row>
    <row r="8" spans="1:9" x14ac:dyDescent="0.25">
      <c r="B8" t="s">
        <v>230</v>
      </c>
    </row>
    <row r="9" spans="1:9" x14ac:dyDescent="0.25">
      <c r="B9" s="1" t="s">
        <v>231</v>
      </c>
      <c r="C9" s="327" t="s">
        <v>232</v>
      </c>
      <c r="D9" s="327"/>
      <c r="E9" s="327"/>
      <c r="F9" s="327"/>
      <c r="G9" s="327"/>
      <c r="H9" s="327"/>
      <c r="I9" s="269" t="s">
        <v>233</v>
      </c>
    </row>
    <row r="10" spans="1:9" ht="20.25" customHeight="1" x14ac:dyDescent="0.25"/>
    <row r="11" spans="1:9" ht="18.75" x14ac:dyDescent="0.3">
      <c r="A11" s="275" t="s">
        <v>240</v>
      </c>
    </row>
    <row r="12" spans="1:9" ht="9" customHeight="1" x14ac:dyDescent="0.25"/>
    <row r="13" spans="1:9" x14ac:dyDescent="0.25">
      <c r="B13" t="s">
        <v>241</v>
      </c>
    </row>
    <row r="14" spans="1:9" x14ac:dyDescent="0.25">
      <c r="B14" t="s">
        <v>238</v>
      </c>
    </row>
    <row r="15" spans="1:9" ht="20.25" customHeight="1" x14ac:dyDescent="0.25">
      <c r="B15" s="1" t="s">
        <v>231</v>
      </c>
      <c r="C15" s="327" t="s">
        <v>239</v>
      </c>
      <c r="D15" s="329"/>
      <c r="E15" s="329"/>
      <c r="F15" s="329"/>
      <c r="G15" s="329"/>
      <c r="H15" s="329"/>
      <c r="I15" s="269" t="s">
        <v>233</v>
      </c>
    </row>
    <row r="16" spans="1:9" ht="18.75" x14ac:dyDescent="0.3">
      <c r="A16" s="268"/>
    </row>
    <row r="17" spans="1:9" ht="9" customHeight="1" x14ac:dyDescent="0.3">
      <c r="A17" s="268"/>
    </row>
    <row r="19" spans="1:9" x14ac:dyDescent="0.25">
      <c r="B19" s="1"/>
      <c r="C19" s="328"/>
      <c r="D19" s="328"/>
      <c r="E19" s="328"/>
      <c r="F19" s="328"/>
      <c r="G19" s="328"/>
      <c r="H19" s="328"/>
      <c r="I19" s="269"/>
    </row>
    <row r="23" spans="1:9" x14ac:dyDescent="0.25">
      <c r="A23" s="270" t="s">
        <v>234</v>
      </c>
    </row>
    <row r="24" spans="1:9" x14ac:dyDescent="0.25">
      <c r="A24" s="271" t="s">
        <v>235</v>
      </c>
    </row>
    <row r="25" spans="1:9" x14ac:dyDescent="0.25">
      <c r="A25" s="272" t="s">
        <v>236</v>
      </c>
    </row>
    <row r="26" spans="1:9" x14ac:dyDescent="0.25">
      <c r="A26" s="273" t="s">
        <v>237</v>
      </c>
    </row>
  </sheetData>
  <sheetProtection password="C3A0" sheet="1" objects="1" scenarios="1"/>
  <mergeCells count="3">
    <mergeCell ref="C9:H9"/>
    <mergeCell ref="C19:H19"/>
    <mergeCell ref="C15:H15"/>
  </mergeCells>
  <hyperlinks>
    <hyperlink ref="C9" r:id="rId1"/>
    <hyperlink ref="A25" r:id="rId2"/>
    <hyperlink ref="C15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2017-06-19T15:17:04Z</cp:lastPrinted>
  <dcterms:created xsi:type="dcterms:W3CDTF">2016-07-10T11:43:10Z</dcterms:created>
  <dcterms:modified xsi:type="dcterms:W3CDTF">2019-03-03T08:36:00Z</dcterms:modified>
</cp:coreProperties>
</file>