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7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8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drawings/drawing9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drawings/drawing10.xml" ContentType="application/vnd.openxmlformats-officedocument.drawing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11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drawings/drawing12.xml" ContentType="application/vnd.openxmlformats-officedocument.drawing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drawings/drawing13.xml" ContentType="application/vnd.openxmlformats-officedocument.drawing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drawings/drawing14.xml" ContentType="application/vnd.openxmlformats-officedocument.drawing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drawings/drawing15.xml" ContentType="application/vnd.openxmlformats-officedocument.drawing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drawings/drawing16.xml" ContentType="application/vnd.openxmlformats-officedocument.drawing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FICHIERS PAYANTS HOUSSAM\"/>
    </mc:Choice>
  </mc:AlternateContent>
  <workbookProtection workbookPassword="B9A0" lockStructure="1"/>
  <bookViews>
    <workbookView xWindow="0" yWindow="0" windowWidth="24000" windowHeight="9735" tabRatio="888"/>
  </bookViews>
  <sheets>
    <sheet name="Page d’accueil" sheetId="14" r:id="rId1"/>
    <sheet name="AIDE" sheetId="16" r:id="rId2"/>
    <sheet name="Déverouillage" sheetId="15" r:id="rId3"/>
    <sheet name="Tableau de bord " sheetId="2" r:id="rId4"/>
    <sheet name="Janvier" sheetId="1" r:id="rId5"/>
    <sheet name="Février" sheetId="4" r:id="rId6"/>
    <sheet name="Mars" sheetId="3" r:id="rId7"/>
    <sheet name="Avril" sheetId="5" r:id="rId8"/>
    <sheet name="Mai" sheetId="6" r:id="rId9"/>
    <sheet name="Juin" sheetId="7" r:id="rId10"/>
    <sheet name="Juillet" sheetId="8" r:id="rId11"/>
    <sheet name="Aout" sheetId="9" r:id="rId12"/>
    <sheet name="Septembre " sheetId="10" r:id="rId13"/>
    <sheet name="Octobre" sheetId="11" r:id="rId14"/>
    <sheet name="Novembre" sheetId="12" r:id="rId15"/>
    <sheet name="Décembre " sheetId="13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3" l="1"/>
  <c r="U10" i="13"/>
  <c r="U6" i="13"/>
  <c r="V6" i="13"/>
  <c r="W6" i="13"/>
  <c r="X6" i="13"/>
  <c r="V7" i="13"/>
  <c r="W7" i="13"/>
  <c r="X7" i="13"/>
  <c r="V8" i="13"/>
  <c r="W8" i="13"/>
  <c r="X8" i="13"/>
  <c r="V9" i="13"/>
  <c r="W9" i="13"/>
  <c r="X9" i="13"/>
  <c r="W10" i="13"/>
  <c r="X10" i="13"/>
  <c r="V11" i="13"/>
  <c r="W11" i="13"/>
  <c r="X11" i="13"/>
  <c r="V12" i="13"/>
  <c r="W12" i="13"/>
  <c r="X12" i="13"/>
  <c r="V13" i="13"/>
  <c r="W13" i="13"/>
  <c r="X13" i="13"/>
  <c r="V14" i="13"/>
  <c r="W14" i="13"/>
  <c r="X14" i="13"/>
  <c r="V15" i="13"/>
  <c r="W15" i="13"/>
  <c r="X15" i="13"/>
  <c r="V16" i="13"/>
  <c r="W16" i="13"/>
  <c r="X16" i="13"/>
  <c r="V17" i="13"/>
  <c r="W17" i="13"/>
  <c r="X17" i="13"/>
  <c r="V18" i="13"/>
  <c r="W18" i="13"/>
  <c r="X18" i="13"/>
  <c r="V19" i="13"/>
  <c r="W19" i="13"/>
  <c r="X19" i="13"/>
  <c r="V20" i="13"/>
  <c r="W20" i="13"/>
  <c r="X20" i="13"/>
  <c r="V21" i="13"/>
  <c r="W21" i="13"/>
  <c r="X21" i="13"/>
  <c r="V22" i="13"/>
  <c r="W22" i="13"/>
  <c r="X22" i="13"/>
  <c r="V23" i="13"/>
  <c r="W23" i="13"/>
  <c r="X23" i="13"/>
  <c r="V24" i="13"/>
  <c r="W24" i="13"/>
  <c r="X24" i="13"/>
  <c r="V25" i="13"/>
  <c r="W25" i="13"/>
  <c r="X25" i="13"/>
  <c r="V26" i="13"/>
  <c r="W26" i="13"/>
  <c r="X26" i="13"/>
  <c r="T6" i="13"/>
  <c r="T7" i="13"/>
  <c r="U7" i="13"/>
  <c r="T8" i="13"/>
  <c r="U8" i="13"/>
  <c r="T9" i="13"/>
  <c r="U9" i="13"/>
  <c r="T10" i="13"/>
  <c r="T11" i="13"/>
  <c r="U11" i="13"/>
  <c r="T12" i="13"/>
  <c r="U12" i="13"/>
  <c r="T13" i="13"/>
  <c r="U13" i="13"/>
  <c r="T14" i="13"/>
  <c r="U14" i="13"/>
  <c r="T15" i="13"/>
  <c r="U15" i="13"/>
  <c r="T16" i="13"/>
  <c r="U16" i="13"/>
  <c r="T17" i="13"/>
  <c r="U17" i="13"/>
  <c r="T18" i="13"/>
  <c r="U18" i="13"/>
  <c r="T19" i="13"/>
  <c r="U19" i="13"/>
  <c r="T20" i="13"/>
  <c r="U20" i="13"/>
  <c r="T21" i="13"/>
  <c r="U21" i="13"/>
  <c r="T22" i="13"/>
  <c r="U22" i="13"/>
  <c r="T23" i="13"/>
  <c r="U23" i="13"/>
  <c r="T24" i="13"/>
  <c r="U24" i="13"/>
  <c r="T25" i="13"/>
  <c r="U25" i="13"/>
  <c r="T26" i="13"/>
  <c r="U26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V6" i="12"/>
  <c r="W6" i="12"/>
  <c r="X6" i="12"/>
  <c r="V7" i="12"/>
  <c r="W7" i="12"/>
  <c r="X7" i="12"/>
  <c r="V8" i="12"/>
  <c r="W8" i="12"/>
  <c r="X8" i="12"/>
  <c r="V9" i="12"/>
  <c r="W9" i="12"/>
  <c r="X9" i="12"/>
  <c r="V10" i="12"/>
  <c r="W10" i="12"/>
  <c r="X10" i="12"/>
  <c r="V11" i="12"/>
  <c r="W11" i="12"/>
  <c r="X11" i="12"/>
  <c r="V12" i="12"/>
  <c r="W12" i="12"/>
  <c r="X12" i="12"/>
  <c r="V13" i="12"/>
  <c r="W13" i="12"/>
  <c r="X13" i="12"/>
  <c r="V14" i="12"/>
  <c r="W14" i="12"/>
  <c r="X14" i="12"/>
  <c r="V15" i="12"/>
  <c r="W15" i="12"/>
  <c r="X15" i="12"/>
  <c r="V16" i="12"/>
  <c r="W16" i="12"/>
  <c r="X16" i="12"/>
  <c r="V17" i="12"/>
  <c r="W17" i="12"/>
  <c r="X17" i="12"/>
  <c r="V18" i="12"/>
  <c r="W18" i="12"/>
  <c r="X18" i="12"/>
  <c r="V19" i="12"/>
  <c r="W19" i="12"/>
  <c r="X19" i="12"/>
  <c r="V20" i="12"/>
  <c r="W20" i="12"/>
  <c r="X20" i="12"/>
  <c r="V21" i="12"/>
  <c r="W21" i="12"/>
  <c r="X21" i="12"/>
  <c r="V22" i="12"/>
  <c r="W22" i="12"/>
  <c r="X22" i="12"/>
  <c r="V23" i="12"/>
  <c r="W23" i="12"/>
  <c r="X23" i="12"/>
  <c r="V24" i="12"/>
  <c r="W24" i="12"/>
  <c r="X24" i="12"/>
  <c r="V25" i="12"/>
  <c r="W25" i="12"/>
  <c r="X25" i="12"/>
  <c r="V26" i="12"/>
  <c r="W26" i="12"/>
  <c r="X26" i="12"/>
  <c r="T6" i="12"/>
  <c r="U6" i="12"/>
  <c r="T7" i="12"/>
  <c r="U7" i="12"/>
  <c r="T8" i="12"/>
  <c r="U8" i="12"/>
  <c r="T9" i="12"/>
  <c r="U9" i="12"/>
  <c r="T10" i="12"/>
  <c r="U10" i="12"/>
  <c r="T11" i="12"/>
  <c r="U11" i="12"/>
  <c r="T12" i="12"/>
  <c r="U12" i="12"/>
  <c r="T13" i="12"/>
  <c r="U13" i="12"/>
  <c r="T14" i="12"/>
  <c r="U14" i="12"/>
  <c r="T15" i="12"/>
  <c r="U15" i="12"/>
  <c r="T16" i="12"/>
  <c r="U16" i="12"/>
  <c r="T17" i="12"/>
  <c r="U17" i="12"/>
  <c r="T18" i="12"/>
  <c r="U18" i="12"/>
  <c r="T19" i="12"/>
  <c r="U19" i="12"/>
  <c r="T20" i="12"/>
  <c r="U20" i="12"/>
  <c r="T21" i="12"/>
  <c r="U21" i="12"/>
  <c r="T22" i="12"/>
  <c r="U22" i="12"/>
  <c r="T23" i="12"/>
  <c r="U23" i="12"/>
  <c r="T24" i="12"/>
  <c r="U24" i="12"/>
  <c r="T25" i="12"/>
  <c r="U25" i="12"/>
  <c r="T26" i="12"/>
  <c r="U26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V6" i="11"/>
  <c r="W6" i="11"/>
  <c r="X6" i="11"/>
  <c r="V7" i="11"/>
  <c r="W7" i="11"/>
  <c r="X7" i="11"/>
  <c r="V8" i="11"/>
  <c r="W8" i="11"/>
  <c r="X8" i="11"/>
  <c r="V9" i="11"/>
  <c r="W9" i="11"/>
  <c r="X9" i="11"/>
  <c r="V10" i="11"/>
  <c r="W10" i="11"/>
  <c r="X10" i="11"/>
  <c r="V11" i="11"/>
  <c r="W11" i="11"/>
  <c r="X11" i="11"/>
  <c r="V12" i="11"/>
  <c r="W12" i="11"/>
  <c r="X12" i="11"/>
  <c r="V13" i="11"/>
  <c r="W13" i="11"/>
  <c r="X13" i="11"/>
  <c r="V14" i="11"/>
  <c r="W14" i="11"/>
  <c r="X14" i="11"/>
  <c r="V15" i="11"/>
  <c r="W15" i="11"/>
  <c r="X15" i="11"/>
  <c r="V16" i="11"/>
  <c r="W16" i="11"/>
  <c r="X16" i="11"/>
  <c r="V17" i="11"/>
  <c r="W17" i="11"/>
  <c r="X17" i="11"/>
  <c r="V18" i="11"/>
  <c r="W18" i="11"/>
  <c r="X18" i="11"/>
  <c r="V19" i="11"/>
  <c r="W19" i="11"/>
  <c r="X19" i="11"/>
  <c r="V20" i="11"/>
  <c r="W20" i="11"/>
  <c r="X20" i="11"/>
  <c r="V21" i="11"/>
  <c r="W21" i="11"/>
  <c r="X21" i="11"/>
  <c r="V22" i="11"/>
  <c r="W22" i="11"/>
  <c r="X22" i="11"/>
  <c r="V23" i="11"/>
  <c r="W23" i="11"/>
  <c r="X23" i="11"/>
  <c r="V24" i="11"/>
  <c r="W24" i="11"/>
  <c r="X24" i="11"/>
  <c r="V25" i="11"/>
  <c r="W25" i="11"/>
  <c r="X25" i="11"/>
  <c r="V26" i="11"/>
  <c r="W26" i="11"/>
  <c r="X26" i="11"/>
  <c r="T6" i="11"/>
  <c r="U6" i="11"/>
  <c r="T7" i="11"/>
  <c r="U7" i="11"/>
  <c r="T8" i="11"/>
  <c r="U8" i="11"/>
  <c r="T9" i="11"/>
  <c r="U9" i="11"/>
  <c r="T10" i="11"/>
  <c r="U10" i="11"/>
  <c r="T11" i="11"/>
  <c r="U11" i="11"/>
  <c r="T12" i="11"/>
  <c r="U12" i="11"/>
  <c r="T13" i="11"/>
  <c r="U13" i="11"/>
  <c r="T14" i="11"/>
  <c r="U14" i="11"/>
  <c r="T15" i="11"/>
  <c r="U15" i="11"/>
  <c r="T16" i="11"/>
  <c r="U16" i="11"/>
  <c r="T17" i="11"/>
  <c r="U17" i="11"/>
  <c r="T18" i="11"/>
  <c r="U18" i="11"/>
  <c r="T19" i="11"/>
  <c r="U19" i="11"/>
  <c r="T20" i="11"/>
  <c r="U20" i="11"/>
  <c r="T21" i="11"/>
  <c r="U21" i="11"/>
  <c r="T22" i="11"/>
  <c r="U22" i="11"/>
  <c r="T23" i="11"/>
  <c r="U23" i="11"/>
  <c r="T24" i="11"/>
  <c r="U24" i="11"/>
  <c r="T25" i="11"/>
  <c r="U25" i="11"/>
  <c r="T26" i="11"/>
  <c r="U26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V6" i="10"/>
  <c r="W6" i="10"/>
  <c r="X6" i="10"/>
  <c r="V7" i="10"/>
  <c r="W7" i="10"/>
  <c r="X7" i="10"/>
  <c r="V8" i="10"/>
  <c r="W8" i="10"/>
  <c r="X8" i="10"/>
  <c r="V9" i="10"/>
  <c r="W9" i="10"/>
  <c r="X9" i="10"/>
  <c r="V10" i="10"/>
  <c r="W10" i="10"/>
  <c r="X10" i="10"/>
  <c r="V11" i="10"/>
  <c r="W11" i="10"/>
  <c r="X11" i="10"/>
  <c r="V12" i="10"/>
  <c r="W12" i="10"/>
  <c r="X12" i="10"/>
  <c r="V13" i="10"/>
  <c r="W13" i="10"/>
  <c r="X13" i="10"/>
  <c r="V14" i="10"/>
  <c r="W14" i="10"/>
  <c r="X14" i="10"/>
  <c r="V15" i="10"/>
  <c r="W15" i="10"/>
  <c r="X15" i="10"/>
  <c r="V16" i="10"/>
  <c r="W16" i="10"/>
  <c r="X16" i="10"/>
  <c r="V17" i="10"/>
  <c r="W17" i="10"/>
  <c r="X17" i="10"/>
  <c r="V18" i="10"/>
  <c r="W18" i="10"/>
  <c r="X18" i="10"/>
  <c r="V19" i="10"/>
  <c r="W19" i="10"/>
  <c r="X19" i="10"/>
  <c r="V20" i="10"/>
  <c r="W20" i="10"/>
  <c r="X20" i="10"/>
  <c r="V21" i="10"/>
  <c r="W21" i="10"/>
  <c r="X21" i="10"/>
  <c r="V22" i="10"/>
  <c r="W22" i="10"/>
  <c r="X22" i="10"/>
  <c r="V23" i="10"/>
  <c r="W23" i="10"/>
  <c r="X23" i="10"/>
  <c r="V24" i="10"/>
  <c r="W24" i="10"/>
  <c r="X24" i="10"/>
  <c r="V25" i="10"/>
  <c r="W25" i="10"/>
  <c r="X25" i="10"/>
  <c r="V26" i="10"/>
  <c r="W26" i="10"/>
  <c r="X26" i="10"/>
  <c r="T6" i="10"/>
  <c r="U6" i="10"/>
  <c r="T7" i="10"/>
  <c r="U7" i="10"/>
  <c r="T8" i="10"/>
  <c r="U8" i="10"/>
  <c r="T9" i="10"/>
  <c r="U9" i="10"/>
  <c r="T10" i="10"/>
  <c r="U10" i="10"/>
  <c r="T11" i="10"/>
  <c r="U11" i="10"/>
  <c r="T12" i="10"/>
  <c r="U12" i="10"/>
  <c r="T13" i="10"/>
  <c r="U13" i="10"/>
  <c r="T14" i="10"/>
  <c r="U14" i="10"/>
  <c r="T15" i="10"/>
  <c r="U15" i="10"/>
  <c r="T16" i="10"/>
  <c r="U16" i="10"/>
  <c r="T17" i="10"/>
  <c r="U17" i="10"/>
  <c r="T18" i="10"/>
  <c r="U18" i="10"/>
  <c r="T19" i="10"/>
  <c r="U19" i="10"/>
  <c r="T20" i="10"/>
  <c r="U20" i="10"/>
  <c r="T21" i="10"/>
  <c r="U21" i="10"/>
  <c r="T22" i="10"/>
  <c r="U22" i="10"/>
  <c r="T23" i="10"/>
  <c r="U23" i="10"/>
  <c r="T24" i="10"/>
  <c r="U24" i="10"/>
  <c r="T25" i="10"/>
  <c r="U25" i="10"/>
  <c r="T26" i="10"/>
  <c r="U26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V6" i="9"/>
  <c r="W6" i="9"/>
  <c r="X6" i="9"/>
  <c r="V7" i="9"/>
  <c r="W7" i="9"/>
  <c r="X7" i="9"/>
  <c r="V8" i="9"/>
  <c r="W8" i="9"/>
  <c r="X8" i="9"/>
  <c r="V9" i="9"/>
  <c r="W9" i="9"/>
  <c r="X9" i="9"/>
  <c r="V10" i="9"/>
  <c r="W10" i="9"/>
  <c r="X10" i="9"/>
  <c r="V11" i="9"/>
  <c r="W11" i="9"/>
  <c r="X11" i="9"/>
  <c r="V12" i="9"/>
  <c r="W12" i="9"/>
  <c r="X12" i="9"/>
  <c r="V13" i="9"/>
  <c r="W13" i="9"/>
  <c r="X13" i="9"/>
  <c r="V14" i="9"/>
  <c r="W14" i="9"/>
  <c r="X14" i="9"/>
  <c r="V15" i="9"/>
  <c r="W15" i="9"/>
  <c r="X15" i="9"/>
  <c r="V16" i="9"/>
  <c r="W16" i="9"/>
  <c r="X16" i="9"/>
  <c r="V17" i="9"/>
  <c r="W17" i="9"/>
  <c r="X17" i="9"/>
  <c r="V18" i="9"/>
  <c r="W18" i="9"/>
  <c r="X18" i="9"/>
  <c r="V19" i="9"/>
  <c r="W19" i="9"/>
  <c r="X19" i="9"/>
  <c r="V20" i="9"/>
  <c r="W20" i="9"/>
  <c r="X20" i="9"/>
  <c r="V21" i="9"/>
  <c r="W21" i="9"/>
  <c r="X21" i="9"/>
  <c r="V22" i="9"/>
  <c r="W22" i="9"/>
  <c r="X22" i="9"/>
  <c r="V23" i="9"/>
  <c r="W23" i="9"/>
  <c r="X23" i="9"/>
  <c r="V24" i="9"/>
  <c r="W24" i="9"/>
  <c r="X24" i="9"/>
  <c r="V25" i="9"/>
  <c r="W25" i="9"/>
  <c r="X25" i="9"/>
  <c r="V26" i="9"/>
  <c r="W26" i="9"/>
  <c r="X26" i="9"/>
  <c r="T6" i="9"/>
  <c r="U6" i="9"/>
  <c r="T7" i="9"/>
  <c r="U7" i="9"/>
  <c r="T8" i="9"/>
  <c r="U8" i="9"/>
  <c r="T9" i="9"/>
  <c r="U9" i="9"/>
  <c r="T10" i="9"/>
  <c r="U10" i="9"/>
  <c r="T11" i="9"/>
  <c r="U11" i="9"/>
  <c r="T12" i="9"/>
  <c r="U12" i="9"/>
  <c r="T13" i="9"/>
  <c r="U13" i="9"/>
  <c r="T14" i="9"/>
  <c r="U14" i="9"/>
  <c r="T15" i="9"/>
  <c r="U15" i="9"/>
  <c r="T16" i="9"/>
  <c r="U16" i="9"/>
  <c r="T17" i="9"/>
  <c r="U17" i="9"/>
  <c r="T18" i="9"/>
  <c r="U18" i="9"/>
  <c r="T19" i="9"/>
  <c r="U19" i="9"/>
  <c r="T20" i="9"/>
  <c r="U20" i="9"/>
  <c r="T21" i="9"/>
  <c r="U21" i="9"/>
  <c r="T22" i="9"/>
  <c r="U22" i="9"/>
  <c r="T23" i="9"/>
  <c r="U23" i="9"/>
  <c r="T24" i="9"/>
  <c r="U24" i="9"/>
  <c r="T25" i="9"/>
  <c r="U25" i="9"/>
  <c r="T26" i="9"/>
  <c r="U26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V6" i="8"/>
  <c r="W6" i="8"/>
  <c r="X6" i="8"/>
  <c r="V7" i="8"/>
  <c r="W7" i="8"/>
  <c r="X7" i="8"/>
  <c r="V8" i="8"/>
  <c r="W8" i="8"/>
  <c r="X8" i="8"/>
  <c r="V9" i="8"/>
  <c r="W9" i="8"/>
  <c r="X9" i="8"/>
  <c r="V10" i="8"/>
  <c r="W10" i="8"/>
  <c r="X10" i="8"/>
  <c r="V11" i="8"/>
  <c r="W11" i="8"/>
  <c r="X11" i="8"/>
  <c r="V12" i="8"/>
  <c r="W12" i="8"/>
  <c r="X12" i="8"/>
  <c r="V13" i="8"/>
  <c r="W13" i="8"/>
  <c r="X13" i="8"/>
  <c r="V14" i="8"/>
  <c r="W14" i="8"/>
  <c r="X14" i="8"/>
  <c r="V15" i="8"/>
  <c r="W15" i="8"/>
  <c r="X15" i="8"/>
  <c r="V16" i="8"/>
  <c r="W16" i="8"/>
  <c r="X16" i="8"/>
  <c r="V17" i="8"/>
  <c r="W17" i="8"/>
  <c r="X17" i="8"/>
  <c r="V18" i="8"/>
  <c r="W18" i="8"/>
  <c r="X18" i="8"/>
  <c r="V19" i="8"/>
  <c r="W19" i="8"/>
  <c r="X19" i="8"/>
  <c r="V20" i="8"/>
  <c r="W20" i="8"/>
  <c r="X20" i="8"/>
  <c r="V21" i="8"/>
  <c r="W21" i="8"/>
  <c r="X21" i="8"/>
  <c r="V22" i="8"/>
  <c r="W22" i="8"/>
  <c r="X22" i="8"/>
  <c r="V23" i="8"/>
  <c r="W23" i="8"/>
  <c r="X23" i="8"/>
  <c r="V24" i="8"/>
  <c r="W24" i="8"/>
  <c r="X24" i="8"/>
  <c r="V25" i="8"/>
  <c r="W25" i="8"/>
  <c r="X25" i="8"/>
  <c r="V26" i="8"/>
  <c r="W26" i="8"/>
  <c r="X26" i="8"/>
  <c r="T6" i="8"/>
  <c r="U6" i="8"/>
  <c r="T7" i="8"/>
  <c r="U7" i="8"/>
  <c r="T8" i="8"/>
  <c r="U8" i="8"/>
  <c r="T9" i="8"/>
  <c r="U9" i="8"/>
  <c r="T10" i="8"/>
  <c r="U10" i="8"/>
  <c r="T11" i="8"/>
  <c r="U11" i="8"/>
  <c r="T12" i="8"/>
  <c r="U12" i="8"/>
  <c r="T13" i="8"/>
  <c r="U13" i="8"/>
  <c r="T14" i="8"/>
  <c r="U14" i="8"/>
  <c r="T15" i="8"/>
  <c r="U15" i="8"/>
  <c r="T16" i="8"/>
  <c r="U16" i="8"/>
  <c r="T17" i="8"/>
  <c r="U17" i="8"/>
  <c r="T18" i="8"/>
  <c r="U18" i="8"/>
  <c r="T19" i="8"/>
  <c r="U19" i="8"/>
  <c r="T20" i="8"/>
  <c r="U20" i="8"/>
  <c r="T21" i="8"/>
  <c r="U21" i="8"/>
  <c r="T22" i="8"/>
  <c r="U22" i="8"/>
  <c r="T23" i="8"/>
  <c r="U23" i="8"/>
  <c r="T24" i="8"/>
  <c r="U24" i="8"/>
  <c r="T25" i="8"/>
  <c r="U25" i="8"/>
  <c r="T26" i="8"/>
  <c r="U26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V6" i="7"/>
  <c r="W6" i="7"/>
  <c r="X6" i="7"/>
  <c r="V7" i="7"/>
  <c r="W7" i="7"/>
  <c r="X7" i="7"/>
  <c r="V8" i="7"/>
  <c r="W8" i="7"/>
  <c r="X8" i="7"/>
  <c r="V9" i="7"/>
  <c r="W9" i="7"/>
  <c r="X9" i="7"/>
  <c r="V10" i="7"/>
  <c r="W10" i="7"/>
  <c r="X10" i="7"/>
  <c r="V11" i="7"/>
  <c r="W11" i="7"/>
  <c r="X11" i="7"/>
  <c r="V12" i="7"/>
  <c r="W12" i="7"/>
  <c r="X12" i="7"/>
  <c r="V13" i="7"/>
  <c r="W13" i="7"/>
  <c r="X13" i="7"/>
  <c r="V14" i="7"/>
  <c r="W14" i="7"/>
  <c r="X14" i="7"/>
  <c r="V15" i="7"/>
  <c r="W15" i="7"/>
  <c r="X15" i="7"/>
  <c r="V16" i="7"/>
  <c r="W16" i="7"/>
  <c r="X16" i="7"/>
  <c r="V17" i="7"/>
  <c r="W17" i="7"/>
  <c r="X17" i="7"/>
  <c r="V18" i="7"/>
  <c r="W18" i="7"/>
  <c r="X18" i="7"/>
  <c r="V19" i="7"/>
  <c r="W19" i="7"/>
  <c r="X19" i="7"/>
  <c r="V20" i="7"/>
  <c r="W20" i="7"/>
  <c r="X20" i="7"/>
  <c r="V21" i="7"/>
  <c r="W21" i="7"/>
  <c r="X21" i="7"/>
  <c r="V22" i="7"/>
  <c r="W22" i="7"/>
  <c r="X22" i="7"/>
  <c r="V23" i="7"/>
  <c r="W23" i="7"/>
  <c r="X23" i="7"/>
  <c r="V24" i="7"/>
  <c r="W24" i="7"/>
  <c r="X24" i="7"/>
  <c r="V25" i="7"/>
  <c r="W25" i="7"/>
  <c r="X25" i="7"/>
  <c r="V26" i="7"/>
  <c r="W26" i="7"/>
  <c r="X26" i="7"/>
  <c r="T6" i="7"/>
  <c r="U6" i="7"/>
  <c r="T7" i="7"/>
  <c r="U7" i="7"/>
  <c r="T8" i="7"/>
  <c r="U8" i="7"/>
  <c r="T9" i="7"/>
  <c r="U9" i="7"/>
  <c r="T10" i="7"/>
  <c r="U10" i="7"/>
  <c r="T11" i="7"/>
  <c r="U11" i="7"/>
  <c r="T12" i="7"/>
  <c r="U12" i="7"/>
  <c r="T13" i="7"/>
  <c r="U13" i="7"/>
  <c r="T14" i="7"/>
  <c r="U14" i="7"/>
  <c r="T15" i="7"/>
  <c r="U15" i="7"/>
  <c r="T16" i="7"/>
  <c r="U16" i="7"/>
  <c r="T17" i="7"/>
  <c r="U17" i="7"/>
  <c r="T18" i="7"/>
  <c r="U18" i="7"/>
  <c r="T19" i="7"/>
  <c r="U19" i="7"/>
  <c r="T20" i="7"/>
  <c r="U20" i="7"/>
  <c r="T21" i="7"/>
  <c r="U21" i="7"/>
  <c r="T22" i="7"/>
  <c r="U22" i="7"/>
  <c r="T23" i="7"/>
  <c r="U23" i="7"/>
  <c r="T24" i="7"/>
  <c r="U24" i="7"/>
  <c r="T25" i="7"/>
  <c r="U25" i="7"/>
  <c r="T26" i="7"/>
  <c r="U26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V6" i="6"/>
  <c r="W6" i="6"/>
  <c r="X6" i="6"/>
  <c r="V7" i="6"/>
  <c r="W7" i="6"/>
  <c r="X7" i="6"/>
  <c r="V8" i="6"/>
  <c r="W8" i="6"/>
  <c r="X8" i="6"/>
  <c r="V9" i="6"/>
  <c r="W9" i="6"/>
  <c r="X9" i="6"/>
  <c r="V10" i="6"/>
  <c r="W10" i="6"/>
  <c r="X10" i="6"/>
  <c r="V11" i="6"/>
  <c r="W11" i="6"/>
  <c r="X11" i="6"/>
  <c r="V12" i="6"/>
  <c r="W12" i="6"/>
  <c r="X12" i="6"/>
  <c r="V13" i="6"/>
  <c r="W13" i="6"/>
  <c r="X13" i="6"/>
  <c r="V14" i="6"/>
  <c r="W14" i="6"/>
  <c r="X14" i="6"/>
  <c r="V15" i="6"/>
  <c r="W15" i="6"/>
  <c r="X15" i="6"/>
  <c r="V16" i="6"/>
  <c r="W16" i="6"/>
  <c r="X16" i="6"/>
  <c r="V17" i="6"/>
  <c r="W17" i="6"/>
  <c r="X17" i="6"/>
  <c r="V18" i="6"/>
  <c r="W18" i="6"/>
  <c r="X18" i="6"/>
  <c r="V19" i="6"/>
  <c r="W19" i="6"/>
  <c r="X19" i="6"/>
  <c r="V20" i="6"/>
  <c r="W20" i="6"/>
  <c r="X20" i="6"/>
  <c r="V21" i="6"/>
  <c r="W21" i="6"/>
  <c r="X21" i="6"/>
  <c r="V22" i="6"/>
  <c r="W22" i="6"/>
  <c r="X22" i="6"/>
  <c r="V23" i="6"/>
  <c r="W23" i="6"/>
  <c r="X23" i="6"/>
  <c r="V24" i="6"/>
  <c r="W24" i="6"/>
  <c r="X24" i="6"/>
  <c r="V25" i="6"/>
  <c r="W25" i="6"/>
  <c r="X25" i="6"/>
  <c r="V26" i="6"/>
  <c r="W26" i="6"/>
  <c r="X26" i="6"/>
  <c r="T6" i="6"/>
  <c r="U6" i="6"/>
  <c r="T7" i="6"/>
  <c r="U7" i="6"/>
  <c r="T8" i="6"/>
  <c r="U8" i="6"/>
  <c r="T9" i="6"/>
  <c r="U9" i="6"/>
  <c r="T10" i="6"/>
  <c r="U10" i="6"/>
  <c r="T11" i="6"/>
  <c r="U11" i="6"/>
  <c r="T12" i="6"/>
  <c r="U12" i="6"/>
  <c r="T13" i="6"/>
  <c r="U13" i="6"/>
  <c r="T14" i="6"/>
  <c r="U14" i="6"/>
  <c r="T15" i="6"/>
  <c r="U15" i="6"/>
  <c r="T16" i="6"/>
  <c r="U16" i="6"/>
  <c r="T17" i="6"/>
  <c r="U17" i="6"/>
  <c r="T18" i="6"/>
  <c r="U18" i="6"/>
  <c r="T19" i="6"/>
  <c r="U19" i="6"/>
  <c r="T20" i="6"/>
  <c r="U20" i="6"/>
  <c r="T21" i="6"/>
  <c r="U21" i="6"/>
  <c r="T22" i="6"/>
  <c r="U22" i="6"/>
  <c r="T23" i="6"/>
  <c r="U23" i="6"/>
  <c r="T24" i="6"/>
  <c r="U24" i="6"/>
  <c r="T25" i="6"/>
  <c r="U25" i="6"/>
  <c r="T26" i="6"/>
  <c r="U26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V6" i="5"/>
  <c r="W6" i="5"/>
  <c r="X6" i="5"/>
  <c r="V7" i="5"/>
  <c r="W7" i="5"/>
  <c r="X7" i="5"/>
  <c r="V8" i="5"/>
  <c r="W8" i="5"/>
  <c r="X8" i="5"/>
  <c r="V9" i="5"/>
  <c r="W9" i="5"/>
  <c r="X9" i="5"/>
  <c r="V10" i="5"/>
  <c r="W10" i="5"/>
  <c r="X10" i="5"/>
  <c r="V11" i="5"/>
  <c r="W11" i="5"/>
  <c r="X11" i="5"/>
  <c r="V12" i="5"/>
  <c r="W12" i="5"/>
  <c r="X12" i="5"/>
  <c r="V13" i="5"/>
  <c r="W13" i="5"/>
  <c r="X13" i="5"/>
  <c r="V14" i="5"/>
  <c r="W14" i="5"/>
  <c r="X14" i="5"/>
  <c r="V15" i="5"/>
  <c r="W15" i="5"/>
  <c r="X15" i="5"/>
  <c r="V16" i="5"/>
  <c r="W16" i="5"/>
  <c r="X16" i="5"/>
  <c r="V17" i="5"/>
  <c r="W17" i="5"/>
  <c r="X17" i="5"/>
  <c r="V18" i="5"/>
  <c r="W18" i="5"/>
  <c r="X18" i="5"/>
  <c r="V19" i="5"/>
  <c r="W19" i="5"/>
  <c r="X19" i="5"/>
  <c r="V20" i="5"/>
  <c r="W20" i="5"/>
  <c r="X20" i="5"/>
  <c r="V21" i="5"/>
  <c r="W21" i="5"/>
  <c r="X21" i="5"/>
  <c r="V22" i="5"/>
  <c r="W22" i="5"/>
  <c r="X22" i="5"/>
  <c r="V23" i="5"/>
  <c r="W23" i="5"/>
  <c r="X23" i="5"/>
  <c r="V24" i="5"/>
  <c r="W24" i="5"/>
  <c r="X24" i="5"/>
  <c r="V25" i="5"/>
  <c r="W25" i="5"/>
  <c r="X25" i="5"/>
  <c r="V26" i="5"/>
  <c r="W26" i="5"/>
  <c r="X26" i="5"/>
  <c r="T6" i="5"/>
  <c r="U6" i="5"/>
  <c r="T7" i="5"/>
  <c r="U7" i="5"/>
  <c r="T8" i="5"/>
  <c r="U8" i="5"/>
  <c r="T9" i="5"/>
  <c r="U9" i="5"/>
  <c r="T10" i="5"/>
  <c r="U10" i="5"/>
  <c r="T11" i="5"/>
  <c r="U11" i="5"/>
  <c r="T12" i="5"/>
  <c r="U12" i="5"/>
  <c r="T13" i="5"/>
  <c r="U13" i="5"/>
  <c r="T14" i="5"/>
  <c r="U14" i="5"/>
  <c r="T15" i="5"/>
  <c r="U15" i="5"/>
  <c r="T16" i="5"/>
  <c r="U16" i="5"/>
  <c r="T17" i="5"/>
  <c r="U17" i="5"/>
  <c r="T18" i="5"/>
  <c r="U18" i="5"/>
  <c r="T19" i="5"/>
  <c r="U19" i="5"/>
  <c r="T20" i="5"/>
  <c r="U20" i="5"/>
  <c r="T21" i="5"/>
  <c r="U21" i="5"/>
  <c r="T22" i="5"/>
  <c r="U22" i="5"/>
  <c r="T23" i="5"/>
  <c r="U23" i="5"/>
  <c r="T24" i="5"/>
  <c r="U24" i="5"/>
  <c r="T25" i="5"/>
  <c r="U25" i="5"/>
  <c r="T26" i="5"/>
  <c r="U26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V6" i="3"/>
  <c r="W6" i="3"/>
  <c r="X6" i="3"/>
  <c r="V7" i="3"/>
  <c r="W7" i="3"/>
  <c r="X7" i="3"/>
  <c r="V8" i="3"/>
  <c r="W8" i="3"/>
  <c r="X8" i="3"/>
  <c r="V9" i="3"/>
  <c r="W9" i="3"/>
  <c r="X9" i="3"/>
  <c r="V10" i="3"/>
  <c r="W10" i="3"/>
  <c r="X10" i="3"/>
  <c r="V11" i="3"/>
  <c r="W11" i="3"/>
  <c r="X11" i="3"/>
  <c r="V12" i="3"/>
  <c r="W12" i="3"/>
  <c r="X12" i="3"/>
  <c r="V13" i="3"/>
  <c r="W13" i="3"/>
  <c r="X13" i="3"/>
  <c r="V14" i="3"/>
  <c r="W14" i="3"/>
  <c r="X14" i="3"/>
  <c r="V15" i="3"/>
  <c r="W15" i="3"/>
  <c r="X15" i="3"/>
  <c r="V16" i="3"/>
  <c r="W16" i="3"/>
  <c r="X16" i="3"/>
  <c r="V17" i="3"/>
  <c r="W17" i="3"/>
  <c r="X17" i="3"/>
  <c r="V18" i="3"/>
  <c r="W18" i="3"/>
  <c r="X18" i="3"/>
  <c r="V19" i="3"/>
  <c r="W19" i="3"/>
  <c r="X19" i="3"/>
  <c r="V20" i="3"/>
  <c r="W20" i="3"/>
  <c r="X20" i="3"/>
  <c r="V21" i="3"/>
  <c r="W21" i="3"/>
  <c r="X21" i="3"/>
  <c r="V22" i="3"/>
  <c r="W22" i="3"/>
  <c r="X22" i="3"/>
  <c r="V23" i="3"/>
  <c r="W23" i="3"/>
  <c r="X23" i="3"/>
  <c r="V24" i="3"/>
  <c r="W24" i="3"/>
  <c r="X24" i="3"/>
  <c r="V25" i="3"/>
  <c r="W25" i="3"/>
  <c r="X25" i="3"/>
  <c r="V26" i="3"/>
  <c r="W26" i="3"/>
  <c r="X26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T20" i="3"/>
  <c r="U20" i="3"/>
  <c r="T21" i="3"/>
  <c r="U21" i="3"/>
  <c r="T22" i="3"/>
  <c r="U22" i="3"/>
  <c r="T23" i="3"/>
  <c r="U23" i="3"/>
  <c r="T24" i="3"/>
  <c r="U24" i="3"/>
  <c r="T25" i="3"/>
  <c r="U25" i="3"/>
  <c r="T26" i="3"/>
  <c r="U26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V6" i="4"/>
  <c r="W6" i="4"/>
  <c r="X6" i="4"/>
  <c r="V7" i="4"/>
  <c r="W7" i="4"/>
  <c r="X7" i="4"/>
  <c r="V8" i="4"/>
  <c r="W8" i="4"/>
  <c r="X8" i="4"/>
  <c r="V9" i="4"/>
  <c r="W9" i="4"/>
  <c r="X9" i="4"/>
  <c r="V10" i="4"/>
  <c r="W10" i="4"/>
  <c r="X10" i="4"/>
  <c r="V11" i="4"/>
  <c r="W11" i="4"/>
  <c r="X11" i="4"/>
  <c r="V12" i="4"/>
  <c r="W12" i="4"/>
  <c r="X12" i="4"/>
  <c r="V13" i="4"/>
  <c r="W13" i="4"/>
  <c r="X13" i="4"/>
  <c r="V14" i="4"/>
  <c r="W14" i="4"/>
  <c r="X14" i="4"/>
  <c r="V15" i="4"/>
  <c r="W15" i="4"/>
  <c r="X15" i="4"/>
  <c r="V16" i="4"/>
  <c r="W16" i="4"/>
  <c r="X16" i="4"/>
  <c r="V17" i="4"/>
  <c r="W17" i="4"/>
  <c r="X17" i="4"/>
  <c r="V18" i="4"/>
  <c r="W18" i="4"/>
  <c r="X18" i="4"/>
  <c r="V19" i="4"/>
  <c r="W19" i="4"/>
  <c r="X19" i="4"/>
  <c r="V20" i="4"/>
  <c r="W20" i="4"/>
  <c r="X20" i="4"/>
  <c r="V21" i="4"/>
  <c r="W21" i="4"/>
  <c r="X21" i="4"/>
  <c r="V22" i="4"/>
  <c r="W22" i="4"/>
  <c r="X22" i="4"/>
  <c r="V23" i="4"/>
  <c r="W23" i="4"/>
  <c r="X23" i="4"/>
  <c r="V24" i="4"/>
  <c r="W24" i="4"/>
  <c r="X24" i="4"/>
  <c r="V25" i="4"/>
  <c r="W25" i="4"/>
  <c r="X25" i="4"/>
  <c r="V26" i="4"/>
  <c r="W26" i="4"/>
  <c r="X26" i="4"/>
  <c r="T6" i="4"/>
  <c r="U6" i="4"/>
  <c r="T7" i="4"/>
  <c r="U7" i="4"/>
  <c r="T8" i="4"/>
  <c r="U8" i="4"/>
  <c r="T9" i="4"/>
  <c r="U9" i="4"/>
  <c r="T10" i="4"/>
  <c r="U10" i="4"/>
  <c r="T11" i="4"/>
  <c r="U11" i="4"/>
  <c r="T12" i="4"/>
  <c r="U12" i="4"/>
  <c r="T13" i="4"/>
  <c r="U13" i="4"/>
  <c r="T14" i="4"/>
  <c r="U14" i="4"/>
  <c r="T15" i="4"/>
  <c r="U15" i="4"/>
  <c r="T16" i="4"/>
  <c r="U16" i="4"/>
  <c r="T17" i="4"/>
  <c r="U17" i="4"/>
  <c r="T18" i="4"/>
  <c r="U18" i="4"/>
  <c r="T19" i="4"/>
  <c r="U19" i="4"/>
  <c r="T20" i="4"/>
  <c r="U20" i="4"/>
  <c r="T21" i="4"/>
  <c r="U21" i="4"/>
  <c r="T22" i="4"/>
  <c r="U22" i="4"/>
  <c r="T23" i="4"/>
  <c r="U23" i="4"/>
  <c r="T24" i="4"/>
  <c r="U24" i="4"/>
  <c r="T25" i="4"/>
  <c r="U25" i="4"/>
  <c r="T26" i="4"/>
  <c r="U26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X15" i="1"/>
  <c r="X3" i="1"/>
  <c r="C40" i="1"/>
  <c r="B40" i="1"/>
  <c r="W6" i="1"/>
  <c r="X6" i="1"/>
  <c r="V7" i="1"/>
  <c r="W7" i="1"/>
  <c r="X7" i="1"/>
  <c r="V8" i="1"/>
  <c r="W8" i="1"/>
  <c r="X8" i="1"/>
  <c r="V9" i="1"/>
  <c r="W9" i="1"/>
  <c r="X9" i="1"/>
  <c r="V10" i="1"/>
  <c r="W10" i="1"/>
  <c r="X10" i="1"/>
  <c r="V11" i="1"/>
  <c r="W11" i="1"/>
  <c r="X11" i="1"/>
  <c r="V12" i="1"/>
  <c r="W12" i="1"/>
  <c r="X12" i="1"/>
  <c r="V13" i="1"/>
  <c r="W13" i="1"/>
  <c r="X13" i="1"/>
  <c r="V14" i="1"/>
  <c r="W14" i="1"/>
  <c r="X14" i="1"/>
  <c r="V15" i="1"/>
  <c r="W15" i="1"/>
  <c r="V16" i="1"/>
  <c r="W16" i="1"/>
  <c r="X16" i="1"/>
  <c r="V17" i="1"/>
  <c r="W17" i="1"/>
  <c r="X17" i="1"/>
  <c r="V18" i="1"/>
  <c r="W18" i="1"/>
  <c r="X18" i="1"/>
  <c r="V19" i="1"/>
  <c r="W19" i="1"/>
  <c r="X19" i="1"/>
  <c r="V20" i="1"/>
  <c r="W20" i="1"/>
  <c r="X20" i="1"/>
  <c r="V21" i="1"/>
  <c r="W21" i="1"/>
  <c r="X21" i="1"/>
  <c r="T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V22" i="1"/>
  <c r="W22" i="1"/>
  <c r="X22" i="1"/>
  <c r="V23" i="1"/>
  <c r="W23" i="1"/>
  <c r="X23" i="1"/>
  <c r="V24" i="1"/>
  <c r="W24" i="1"/>
  <c r="X24" i="1"/>
  <c r="V25" i="1"/>
  <c r="W25" i="1"/>
  <c r="X25" i="1"/>
  <c r="V26" i="1"/>
  <c r="W26" i="1"/>
  <c r="X26" i="1"/>
  <c r="T22" i="1"/>
  <c r="U22" i="1"/>
  <c r="T23" i="1"/>
  <c r="U23" i="1"/>
  <c r="T24" i="1"/>
  <c r="U24" i="1"/>
  <c r="T25" i="1"/>
  <c r="U25" i="1"/>
  <c r="T26" i="1"/>
  <c r="U26" i="1"/>
  <c r="P22" i="1"/>
  <c r="P23" i="1"/>
  <c r="P24" i="1"/>
  <c r="P25" i="1"/>
  <c r="P26" i="1"/>
  <c r="H5" i="1"/>
  <c r="H3" i="1"/>
  <c r="K22" i="1"/>
  <c r="K23" i="1"/>
  <c r="K24" i="1"/>
  <c r="K25" i="1"/>
  <c r="K26" i="1"/>
  <c r="H22" i="1"/>
  <c r="H23" i="1"/>
  <c r="H24" i="1"/>
  <c r="H25" i="1"/>
  <c r="H26" i="1"/>
  <c r="K27" i="1"/>
  <c r="H27" i="1"/>
  <c r="P27" i="1"/>
  <c r="T27" i="1"/>
  <c r="U6" i="1" l="1"/>
  <c r="V6" i="1"/>
  <c r="V40" i="1" s="1"/>
  <c r="V27" i="1"/>
  <c r="X27" i="1" s="1"/>
  <c r="U27" i="1"/>
  <c r="B1" i="14"/>
  <c r="S40" i="13"/>
  <c r="R40" i="13"/>
  <c r="Q40" i="13"/>
  <c r="O40" i="13"/>
  <c r="N40" i="13"/>
  <c r="M40" i="13"/>
  <c r="L40" i="13"/>
  <c r="J40" i="13"/>
  <c r="I40" i="13"/>
  <c r="G40" i="13"/>
  <c r="F40" i="13"/>
  <c r="E40" i="13"/>
  <c r="D40" i="13"/>
  <c r="C40" i="13"/>
  <c r="O7" i="2" s="1"/>
  <c r="B40" i="13"/>
  <c r="X39" i="13"/>
  <c r="W39" i="13"/>
  <c r="V39" i="13"/>
  <c r="U39" i="13"/>
  <c r="T39" i="13"/>
  <c r="P39" i="13"/>
  <c r="K39" i="13"/>
  <c r="H39" i="13"/>
  <c r="X38" i="13"/>
  <c r="W38" i="13"/>
  <c r="V38" i="13"/>
  <c r="U38" i="13"/>
  <c r="T38" i="13"/>
  <c r="P38" i="13"/>
  <c r="K38" i="13"/>
  <c r="H38" i="13"/>
  <c r="X37" i="13"/>
  <c r="W37" i="13"/>
  <c r="V37" i="13"/>
  <c r="U37" i="13"/>
  <c r="T37" i="13"/>
  <c r="P37" i="13"/>
  <c r="K37" i="13"/>
  <c r="H37" i="13"/>
  <c r="X36" i="13"/>
  <c r="W36" i="13"/>
  <c r="V36" i="13"/>
  <c r="U36" i="13"/>
  <c r="T36" i="13"/>
  <c r="P36" i="13"/>
  <c r="K36" i="13"/>
  <c r="H36" i="13"/>
  <c r="X35" i="13"/>
  <c r="W35" i="13"/>
  <c r="V35" i="13"/>
  <c r="U35" i="13"/>
  <c r="T35" i="13"/>
  <c r="P35" i="13"/>
  <c r="K35" i="13"/>
  <c r="H35" i="13"/>
  <c r="X34" i="13"/>
  <c r="W34" i="13"/>
  <c r="V34" i="13"/>
  <c r="U34" i="13"/>
  <c r="T34" i="13"/>
  <c r="P34" i="13"/>
  <c r="K34" i="13"/>
  <c r="H34" i="13"/>
  <c r="X33" i="13"/>
  <c r="W33" i="13"/>
  <c r="V33" i="13"/>
  <c r="U33" i="13"/>
  <c r="T33" i="13"/>
  <c r="P33" i="13"/>
  <c r="K33" i="13"/>
  <c r="H33" i="13"/>
  <c r="X32" i="13"/>
  <c r="W32" i="13"/>
  <c r="V32" i="13"/>
  <c r="U32" i="13"/>
  <c r="T32" i="13"/>
  <c r="P32" i="13"/>
  <c r="K32" i="13"/>
  <c r="H32" i="13"/>
  <c r="X31" i="13"/>
  <c r="W31" i="13"/>
  <c r="V31" i="13"/>
  <c r="U31" i="13"/>
  <c r="T31" i="13"/>
  <c r="P31" i="13"/>
  <c r="K31" i="13"/>
  <c r="H31" i="13"/>
  <c r="X30" i="13"/>
  <c r="W30" i="13"/>
  <c r="V30" i="13"/>
  <c r="U30" i="13"/>
  <c r="T30" i="13"/>
  <c r="P30" i="13"/>
  <c r="K30" i="13"/>
  <c r="H30" i="13"/>
  <c r="X29" i="13"/>
  <c r="W29" i="13"/>
  <c r="V29" i="13"/>
  <c r="U29" i="13"/>
  <c r="T29" i="13"/>
  <c r="P29" i="13"/>
  <c r="K29" i="13"/>
  <c r="H29" i="13"/>
  <c r="X28" i="13"/>
  <c r="W28" i="13"/>
  <c r="V28" i="13"/>
  <c r="U28" i="13"/>
  <c r="T28" i="13"/>
  <c r="P28" i="13"/>
  <c r="K28" i="13"/>
  <c r="H28" i="13"/>
  <c r="X27" i="13"/>
  <c r="W27" i="13"/>
  <c r="V27" i="13"/>
  <c r="U27" i="13"/>
  <c r="T27" i="13"/>
  <c r="P27" i="13"/>
  <c r="K27" i="13"/>
  <c r="H27" i="13"/>
  <c r="T5" i="13"/>
  <c r="P5" i="13"/>
  <c r="K5" i="13"/>
  <c r="H5" i="13"/>
  <c r="T4" i="13"/>
  <c r="P4" i="13"/>
  <c r="K4" i="13"/>
  <c r="H4" i="13"/>
  <c r="T3" i="13"/>
  <c r="P3" i="13"/>
  <c r="K3" i="13"/>
  <c r="K40" i="13" s="1"/>
  <c r="O9" i="2" s="1"/>
  <c r="H3" i="13"/>
  <c r="S40" i="12"/>
  <c r="R40" i="12"/>
  <c r="Q40" i="12"/>
  <c r="O40" i="12"/>
  <c r="N40" i="12"/>
  <c r="M40" i="12"/>
  <c r="L40" i="12"/>
  <c r="J40" i="12"/>
  <c r="I40" i="12"/>
  <c r="G40" i="12"/>
  <c r="F40" i="12"/>
  <c r="E40" i="12"/>
  <c r="D40" i="12"/>
  <c r="C40" i="12"/>
  <c r="N7" i="2" s="1"/>
  <c r="B40" i="12"/>
  <c r="X39" i="12"/>
  <c r="W39" i="12"/>
  <c r="V39" i="12"/>
  <c r="U39" i="12"/>
  <c r="T39" i="12"/>
  <c r="P39" i="12"/>
  <c r="K39" i="12"/>
  <c r="H39" i="12"/>
  <c r="X38" i="12"/>
  <c r="W38" i="12"/>
  <c r="V38" i="12"/>
  <c r="U38" i="12"/>
  <c r="T38" i="12"/>
  <c r="P38" i="12"/>
  <c r="K38" i="12"/>
  <c r="H38" i="12"/>
  <c r="X37" i="12"/>
  <c r="W37" i="12"/>
  <c r="V37" i="12"/>
  <c r="U37" i="12"/>
  <c r="T37" i="12"/>
  <c r="P37" i="12"/>
  <c r="K37" i="12"/>
  <c r="H37" i="12"/>
  <c r="X36" i="12"/>
  <c r="W36" i="12"/>
  <c r="V36" i="12"/>
  <c r="U36" i="12"/>
  <c r="T36" i="12"/>
  <c r="P36" i="12"/>
  <c r="K36" i="12"/>
  <c r="H36" i="12"/>
  <c r="X35" i="12"/>
  <c r="W35" i="12"/>
  <c r="V35" i="12"/>
  <c r="U35" i="12"/>
  <c r="T35" i="12"/>
  <c r="P35" i="12"/>
  <c r="K35" i="12"/>
  <c r="H35" i="12"/>
  <c r="X34" i="12"/>
  <c r="W34" i="12"/>
  <c r="V34" i="12"/>
  <c r="U34" i="12"/>
  <c r="T34" i="12"/>
  <c r="P34" i="12"/>
  <c r="K34" i="12"/>
  <c r="H34" i="12"/>
  <c r="X33" i="12"/>
  <c r="W33" i="12"/>
  <c r="V33" i="12"/>
  <c r="U33" i="12"/>
  <c r="T33" i="12"/>
  <c r="P33" i="12"/>
  <c r="K33" i="12"/>
  <c r="H33" i="12"/>
  <c r="X32" i="12"/>
  <c r="W32" i="12"/>
  <c r="V32" i="12"/>
  <c r="U32" i="12"/>
  <c r="T32" i="12"/>
  <c r="P32" i="12"/>
  <c r="K32" i="12"/>
  <c r="H32" i="12"/>
  <c r="X31" i="12"/>
  <c r="W31" i="12"/>
  <c r="V31" i="12"/>
  <c r="U31" i="12"/>
  <c r="T31" i="12"/>
  <c r="P31" i="12"/>
  <c r="K31" i="12"/>
  <c r="H31" i="12"/>
  <c r="X30" i="12"/>
  <c r="W30" i="12"/>
  <c r="V30" i="12"/>
  <c r="U30" i="12"/>
  <c r="T30" i="12"/>
  <c r="P30" i="12"/>
  <c r="K30" i="12"/>
  <c r="H30" i="12"/>
  <c r="X29" i="12"/>
  <c r="W29" i="12"/>
  <c r="V29" i="12"/>
  <c r="U29" i="12"/>
  <c r="T29" i="12"/>
  <c r="P29" i="12"/>
  <c r="K29" i="12"/>
  <c r="H29" i="12"/>
  <c r="X28" i="12"/>
  <c r="W28" i="12"/>
  <c r="V28" i="12"/>
  <c r="U28" i="12"/>
  <c r="T28" i="12"/>
  <c r="P28" i="12"/>
  <c r="K28" i="12"/>
  <c r="H28" i="12"/>
  <c r="X27" i="12"/>
  <c r="W27" i="12"/>
  <c r="V27" i="12"/>
  <c r="U27" i="12"/>
  <c r="T27" i="12"/>
  <c r="P27" i="12"/>
  <c r="K27" i="12"/>
  <c r="H27" i="12"/>
  <c r="T5" i="12"/>
  <c r="P5" i="12"/>
  <c r="K5" i="12"/>
  <c r="H5" i="12"/>
  <c r="T4" i="12"/>
  <c r="P4" i="12"/>
  <c r="K4" i="12"/>
  <c r="H4" i="12"/>
  <c r="T3" i="12"/>
  <c r="P3" i="12"/>
  <c r="K3" i="12"/>
  <c r="H3" i="12"/>
  <c r="S40" i="11"/>
  <c r="R40" i="11"/>
  <c r="Q40" i="11"/>
  <c r="O40" i="11"/>
  <c r="N40" i="11"/>
  <c r="M40" i="11"/>
  <c r="L40" i="11"/>
  <c r="J40" i="11"/>
  <c r="I40" i="11"/>
  <c r="G40" i="11"/>
  <c r="F40" i="11"/>
  <c r="E40" i="11"/>
  <c r="D40" i="11"/>
  <c r="C40" i="11"/>
  <c r="M7" i="2" s="1"/>
  <c r="B40" i="11"/>
  <c r="X39" i="11"/>
  <c r="W39" i="11"/>
  <c r="V39" i="11"/>
  <c r="U39" i="11"/>
  <c r="T39" i="11"/>
  <c r="P39" i="11"/>
  <c r="K39" i="11"/>
  <c r="H39" i="11"/>
  <c r="X38" i="11"/>
  <c r="W38" i="11"/>
  <c r="V38" i="11"/>
  <c r="U38" i="11"/>
  <c r="T38" i="11"/>
  <c r="P38" i="11"/>
  <c r="K38" i="11"/>
  <c r="H38" i="11"/>
  <c r="X37" i="11"/>
  <c r="W37" i="11"/>
  <c r="V37" i="11"/>
  <c r="U37" i="11"/>
  <c r="T37" i="11"/>
  <c r="P37" i="11"/>
  <c r="K37" i="11"/>
  <c r="H37" i="11"/>
  <c r="X36" i="11"/>
  <c r="W36" i="11"/>
  <c r="V36" i="11"/>
  <c r="U36" i="11"/>
  <c r="T36" i="11"/>
  <c r="P36" i="11"/>
  <c r="K36" i="11"/>
  <c r="H36" i="11"/>
  <c r="X35" i="11"/>
  <c r="W35" i="11"/>
  <c r="V35" i="11"/>
  <c r="U35" i="11"/>
  <c r="T35" i="11"/>
  <c r="P35" i="11"/>
  <c r="K35" i="11"/>
  <c r="H35" i="11"/>
  <c r="X34" i="11"/>
  <c r="W34" i="11"/>
  <c r="V34" i="11"/>
  <c r="U34" i="11"/>
  <c r="T34" i="11"/>
  <c r="P34" i="11"/>
  <c r="K34" i="11"/>
  <c r="H34" i="11"/>
  <c r="X33" i="11"/>
  <c r="W33" i="11"/>
  <c r="V33" i="11"/>
  <c r="U33" i="11"/>
  <c r="T33" i="11"/>
  <c r="P33" i="11"/>
  <c r="K33" i="11"/>
  <c r="H33" i="11"/>
  <c r="X32" i="11"/>
  <c r="W32" i="11"/>
  <c r="V32" i="11"/>
  <c r="U32" i="11"/>
  <c r="T32" i="11"/>
  <c r="P32" i="11"/>
  <c r="K32" i="11"/>
  <c r="H32" i="11"/>
  <c r="X31" i="11"/>
  <c r="W31" i="11"/>
  <c r="V31" i="11"/>
  <c r="U31" i="11"/>
  <c r="T31" i="11"/>
  <c r="P31" i="11"/>
  <c r="K31" i="11"/>
  <c r="H31" i="11"/>
  <c r="X30" i="11"/>
  <c r="W30" i="11"/>
  <c r="V30" i="11"/>
  <c r="U30" i="11"/>
  <c r="T30" i="11"/>
  <c r="P30" i="11"/>
  <c r="K30" i="11"/>
  <c r="H30" i="11"/>
  <c r="X29" i="11"/>
  <c r="W29" i="11"/>
  <c r="V29" i="11"/>
  <c r="U29" i="11"/>
  <c r="T29" i="11"/>
  <c r="P29" i="11"/>
  <c r="K29" i="11"/>
  <c r="H29" i="11"/>
  <c r="X28" i="11"/>
  <c r="W28" i="11"/>
  <c r="V28" i="11"/>
  <c r="U28" i="11"/>
  <c r="T28" i="11"/>
  <c r="P28" i="11"/>
  <c r="K28" i="11"/>
  <c r="H28" i="11"/>
  <c r="X27" i="11"/>
  <c r="W27" i="11"/>
  <c r="V27" i="11"/>
  <c r="U27" i="11"/>
  <c r="T27" i="11"/>
  <c r="P27" i="11"/>
  <c r="K27" i="11"/>
  <c r="H27" i="11"/>
  <c r="T5" i="11"/>
  <c r="P5" i="11"/>
  <c r="K5" i="11"/>
  <c r="H5" i="11"/>
  <c r="T4" i="11"/>
  <c r="P4" i="11"/>
  <c r="K4" i="11"/>
  <c r="H4" i="11"/>
  <c r="T3" i="11"/>
  <c r="P3" i="11"/>
  <c r="K3" i="11"/>
  <c r="H3" i="11"/>
  <c r="S40" i="10"/>
  <c r="R40" i="10"/>
  <c r="Q40" i="10"/>
  <c r="O40" i="10"/>
  <c r="N40" i="10"/>
  <c r="M40" i="10"/>
  <c r="L40" i="10"/>
  <c r="J40" i="10"/>
  <c r="I40" i="10"/>
  <c r="G40" i="10"/>
  <c r="F40" i="10"/>
  <c r="E40" i="10"/>
  <c r="D40" i="10"/>
  <c r="C40" i="10"/>
  <c r="L7" i="2" s="1"/>
  <c r="B40" i="10"/>
  <c r="X39" i="10"/>
  <c r="W39" i="10"/>
  <c r="V39" i="10"/>
  <c r="U39" i="10"/>
  <c r="T39" i="10"/>
  <c r="P39" i="10"/>
  <c r="K39" i="10"/>
  <c r="H39" i="10"/>
  <c r="X38" i="10"/>
  <c r="W38" i="10"/>
  <c r="V38" i="10"/>
  <c r="U38" i="10"/>
  <c r="T38" i="10"/>
  <c r="P38" i="10"/>
  <c r="K38" i="10"/>
  <c r="H38" i="10"/>
  <c r="X37" i="10"/>
  <c r="W37" i="10"/>
  <c r="V37" i="10"/>
  <c r="U37" i="10"/>
  <c r="T37" i="10"/>
  <c r="P37" i="10"/>
  <c r="K37" i="10"/>
  <c r="H37" i="10"/>
  <c r="X36" i="10"/>
  <c r="W36" i="10"/>
  <c r="V36" i="10"/>
  <c r="U36" i="10"/>
  <c r="T36" i="10"/>
  <c r="P36" i="10"/>
  <c r="K36" i="10"/>
  <c r="H36" i="10"/>
  <c r="X35" i="10"/>
  <c r="W35" i="10"/>
  <c r="V35" i="10"/>
  <c r="U35" i="10"/>
  <c r="T35" i="10"/>
  <c r="P35" i="10"/>
  <c r="K35" i="10"/>
  <c r="H35" i="10"/>
  <c r="X34" i="10"/>
  <c r="W34" i="10"/>
  <c r="V34" i="10"/>
  <c r="U34" i="10"/>
  <c r="T34" i="10"/>
  <c r="P34" i="10"/>
  <c r="K34" i="10"/>
  <c r="H34" i="10"/>
  <c r="X33" i="10"/>
  <c r="W33" i="10"/>
  <c r="V33" i="10"/>
  <c r="U33" i="10"/>
  <c r="T33" i="10"/>
  <c r="P33" i="10"/>
  <c r="K33" i="10"/>
  <c r="H33" i="10"/>
  <c r="X32" i="10"/>
  <c r="W32" i="10"/>
  <c r="V32" i="10"/>
  <c r="U32" i="10"/>
  <c r="T32" i="10"/>
  <c r="P32" i="10"/>
  <c r="K32" i="10"/>
  <c r="H32" i="10"/>
  <c r="X31" i="10"/>
  <c r="W31" i="10"/>
  <c r="V31" i="10"/>
  <c r="U31" i="10"/>
  <c r="T31" i="10"/>
  <c r="P31" i="10"/>
  <c r="K31" i="10"/>
  <c r="H31" i="10"/>
  <c r="X30" i="10"/>
  <c r="W30" i="10"/>
  <c r="V30" i="10"/>
  <c r="U30" i="10"/>
  <c r="T30" i="10"/>
  <c r="P30" i="10"/>
  <c r="K30" i="10"/>
  <c r="H30" i="10"/>
  <c r="X29" i="10"/>
  <c r="W29" i="10"/>
  <c r="V29" i="10"/>
  <c r="U29" i="10"/>
  <c r="T29" i="10"/>
  <c r="P29" i="10"/>
  <c r="K29" i="10"/>
  <c r="H29" i="10"/>
  <c r="X28" i="10"/>
  <c r="W28" i="10"/>
  <c r="V28" i="10"/>
  <c r="U28" i="10"/>
  <c r="T28" i="10"/>
  <c r="P28" i="10"/>
  <c r="K28" i="10"/>
  <c r="H28" i="10"/>
  <c r="X27" i="10"/>
  <c r="W27" i="10"/>
  <c r="V27" i="10"/>
  <c r="U27" i="10"/>
  <c r="T27" i="10"/>
  <c r="P27" i="10"/>
  <c r="K27" i="10"/>
  <c r="H27" i="10"/>
  <c r="T5" i="10"/>
  <c r="P5" i="10"/>
  <c r="K5" i="10"/>
  <c r="H5" i="10"/>
  <c r="T4" i="10"/>
  <c r="P4" i="10"/>
  <c r="K4" i="10"/>
  <c r="H4" i="10"/>
  <c r="T3" i="10"/>
  <c r="P3" i="10"/>
  <c r="K3" i="10"/>
  <c r="H3" i="10"/>
  <c r="S40" i="9"/>
  <c r="R40" i="9"/>
  <c r="Q40" i="9"/>
  <c r="O40" i="9"/>
  <c r="N40" i="9"/>
  <c r="M40" i="9"/>
  <c r="L40" i="9"/>
  <c r="J40" i="9"/>
  <c r="I40" i="9"/>
  <c r="G40" i="9"/>
  <c r="F40" i="9"/>
  <c r="E40" i="9"/>
  <c r="D40" i="9"/>
  <c r="C40" i="9"/>
  <c r="K7" i="2" s="1"/>
  <c r="B40" i="9"/>
  <c r="X39" i="9"/>
  <c r="W39" i="9"/>
  <c r="V39" i="9"/>
  <c r="U39" i="9"/>
  <c r="T39" i="9"/>
  <c r="P39" i="9"/>
  <c r="K39" i="9"/>
  <c r="H39" i="9"/>
  <c r="X38" i="9"/>
  <c r="W38" i="9"/>
  <c r="V38" i="9"/>
  <c r="U38" i="9"/>
  <c r="T38" i="9"/>
  <c r="P38" i="9"/>
  <c r="K38" i="9"/>
  <c r="H38" i="9"/>
  <c r="X37" i="9"/>
  <c r="W37" i="9"/>
  <c r="V37" i="9"/>
  <c r="U37" i="9"/>
  <c r="T37" i="9"/>
  <c r="P37" i="9"/>
  <c r="K37" i="9"/>
  <c r="H37" i="9"/>
  <c r="X36" i="9"/>
  <c r="W36" i="9"/>
  <c r="V36" i="9"/>
  <c r="U36" i="9"/>
  <c r="T36" i="9"/>
  <c r="P36" i="9"/>
  <c r="K36" i="9"/>
  <c r="H36" i="9"/>
  <c r="X35" i="9"/>
  <c r="W35" i="9"/>
  <c r="V35" i="9"/>
  <c r="U35" i="9"/>
  <c r="T35" i="9"/>
  <c r="P35" i="9"/>
  <c r="K35" i="9"/>
  <c r="H35" i="9"/>
  <c r="X34" i="9"/>
  <c r="W34" i="9"/>
  <c r="V34" i="9"/>
  <c r="U34" i="9"/>
  <c r="T34" i="9"/>
  <c r="P34" i="9"/>
  <c r="K34" i="9"/>
  <c r="H34" i="9"/>
  <c r="X33" i="9"/>
  <c r="W33" i="9"/>
  <c r="V33" i="9"/>
  <c r="U33" i="9"/>
  <c r="T33" i="9"/>
  <c r="P33" i="9"/>
  <c r="K33" i="9"/>
  <c r="H33" i="9"/>
  <c r="X32" i="9"/>
  <c r="W32" i="9"/>
  <c r="V32" i="9"/>
  <c r="U32" i="9"/>
  <c r="T32" i="9"/>
  <c r="P32" i="9"/>
  <c r="K32" i="9"/>
  <c r="H32" i="9"/>
  <c r="X31" i="9"/>
  <c r="W31" i="9"/>
  <c r="V31" i="9"/>
  <c r="U31" i="9"/>
  <c r="T31" i="9"/>
  <c r="P31" i="9"/>
  <c r="K31" i="9"/>
  <c r="H31" i="9"/>
  <c r="X30" i="9"/>
  <c r="W30" i="9"/>
  <c r="V30" i="9"/>
  <c r="U30" i="9"/>
  <c r="T30" i="9"/>
  <c r="P30" i="9"/>
  <c r="K30" i="9"/>
  <c r="H30" i="9"/>
  <c r="X29" i="9"/>
  <c r="W29" i="9"/>
  <c r="V29" i="9"/>
  <c r="U29" i="9"/>
  <c r="T29" i="9"/>
  <c r="P29" i="9"/>
  <c r="K29" i="9"/>
  <c r="H29" i="9"/>
  <c r="X28" i="9"/>
  <c r="W28" i="9"/>
  <c r="V28" i="9"/>
  <c r="U28" i="9"/>
  <c r="T28" i="9"/>
  <c r="P28" i="9"/>
  <c r="K28" i="9"/>
  <c r="H28" i="9"/>
  <c r="X27" i="9"/>
  <c r="W27" i="9"/>
  <c r="V27" i="9"/>
  <c r="U27" i="9"/>
  <c r="T27" i="9"/>
  <c r="P27" i="9"/>
  <c r="K27" i="9"/>
  <c r="H27" i="9"/>
  <c r="T5" i="9"/>
  <c r="P5" i="9"/>
  <c r="K5" i="9"/>
  <c r="H5" i="9"/>
  <c r="T4" i="9"/>
  <c r="P4" i="9"/>
  <c r="K4" i="9"/>
  <c r="H4" i="9"/>
  <c r="T3" i="9"/>
  <c r="P3" i="9"/>
  <c r="K3" i="9"/>
  <c r="K40" i="9" s="1"/>
  <c r="K9" i="2" s="1"/>
  <c r="H3" i="9"/>
  <c r="S40" i="8"/>
  <c r="R40" i="8"/>
  <c r="Q40" i="8"/>
  <c r="O40" i="8"/>
  <c r="N40" i="8"/>
  <c r="M40" i="8"/>
  <c r="L40" i="8"/>
  <c r="J40" i="8"/>
  <c r="I40" i="8"/>
  <c r="G40" i="8"/>
  <c r="F40" i="8"/>
  <c r="E40" i="8"/>
  <c r="D40" i="8"/>
  <c r="C40" i="8"/>
  <c r="J7" i="2" s="1"/>
  <c r="B40" i="8"/>
  <c r="X39" i="8"/>
  <c r="W39" i="8"/>
  <c r="V39" i="8"/>
  <c r="U39" i="8"/>
  <c r="T39" i="8"/>
  <c r="P39" i="8"/>
  <c r="K39" i="8"/>
  <c r="H39" i="8"/>
  <c r="X38" i="8"/>
  <c r="W38" i="8"/>
  <c r="V38" i="8"/>
  <c r="U38" i="8"/>
  <c r="T38" i="8"/>
  <c r="P38" i="8"/>
  <c r="K38" i="8"/>
  <c r="H38" i="8"/>
  <c r="X37" i="8"/>
  <c r="W37" i="8"/>
  <c r="V37" i="8"/>
  <c r="U37" i="8"/>
  <c r="T37" i="8"/>
  <c r="P37" i="8"/>
  <c r="K37" i="8"/>
  <c r="H37" i="8"/>
  <c r="X36" i="8"/>
  <c r="W36" i="8"/>
  <c r="V36" i="8"/>
  <c r="U36" i="8"/>
  <c r="T36" i="8"/>
  <c r="P36" i="8"/>
  <c r="K36" i="8"/>
  <c r="H36" i="8"/>
  <c r="X35" i="8"/>
  <c r="W35" i="8"/>
  <c r="V35" i="8"/>
  <c r="U35" i="8"/>
  <c r="T35" i="8"/>
  <c r="P35" i="8"/>
  <c r="K35" i="8"/>
  <c r="H35" i="8"/>
  <c r="X34" i="8"/>
  <c r="W34" i="8"/>
  <c r="V34" i="8"/>
  <c r="U34" i="8"/>
  <c r="T34" i="8"/>
  <c r="P34" i="8"/>
  <c r="K34" i="8"/>
  <c r="H34" i="8"/>
  <c r="X33" i="8"/>
  <c r="W33" i="8"/>
  <c r="V33" i="8"/>
  <c r="U33" i="8"/>
  <c r="T33" i="8"/>
  <c r="P33" i="8"/>
  <c r="K33" i="8"/>
  <c r="H33" i="8"/>
  <c r="X32" i="8"/>
  <c r="W32" i="8"/>
  <c r="V32" i="8"/>
  <c r="U32" i="8"/>
  <c r="T32" i="8"/>
  <c r="P32" i="8"/>
  <c r="K32" i="8"/>
  <c r="H32" i="8"/>
  <c r="X31" i="8"/>
  <c r="W31" i="8"/>
  <c r="V31" i="8"/>
  <c r="U31" i="8"/>
  <c r="T31" i="8"/>
  <c r="P31" i="8"/>
  <c r="K31" i="8"/>
  <c r="H31" i="8"/>
  <c r="X30" i="8"/>
  <c r="W30" i="8"/>
  <c r="V30" i="8"/>
  <c r="U30" i="8"/>
  <c r="T30" i="8"/>
  <c r="P30" i="8"/>
  <c r="K30" i="8"/>
  <c r="H30" i="8"/>
  <c r="X29" i="8"/>
  <c r="W29" i="8"/>
  <c r="V29" i="8"/>
  <c r="U29" i="8"/>
  <c r="T29" i="8"/>
  <c r="P29" i="8"/>
  <c r="K29" i="8"/>
  <c r="H29" i="8"/>
  <c r="X28" i="8"/>
  <c r="W28" i="8"/>
  <c r="V28" i="8"/>
  <c r="U28" i="8"/>
  <c r="T28" i="8"/>
  <c r="P28" i="8"/>
  <c r="K28" i="8"/>
  <c r="H28" i="8"/>
  <c r="X27" i="8"/>
  <c r="W27" i="8"/>
  <c r="V27" i="8"/>
  <c r="U27" i="8"/>
  <c r="T27" i="8"/>
  <c r="P27" i="8"/>
  <c r="K27" i="8"/>
  <c r="H27" i="8"/>
  <c r="T5" i="8"/>
  <c r="P5" i="8"/>
  <c r="K5" i="8"/>
  <c r="H5" i="8"/>
  <c r="T4" i="8"/>
  <c r="P4" i="8"/>
  <c r="K4" i="8"/>
  <c r="H4" i="8"/>
  <c r="T3" i="8"/>
  <c r="P3" i="8"/>
  <c r="K3" i="8"/>
  <c r="H3" i="8"/>
  <c r="S40" i="7"/>
  <c r="R40" i="7"/>
  <c r="Q40" i="7"/>
  <c r="O40" i="7"/>
  <c r="N40" i="7"/>
  <c r="M40" i="7"/>
  <c r="L40" i="7"/>
  <c r="J40" i="7"/>
  <c r="I40" i="7"/>
  <c r="G40" i="7"/>
  <c r="F40" i="7"/>
  <c r="E40" i="7"/>
  <c r="D40" i="7"/>
  <c r="C40" i="7"/>
  <c r="I7" i="2" s="1"/>
  <c r="B40" i="7"/>
  <c r="X39" i="7"/>
  <c r="W39" i="7"/>
  <c r="V39" i="7"/>
  <c r="U39" i="7"/>
  <c r="T39" i="7"/>
  <c r="P39" i="7"/>
  <c r="K39" i="7"/>
  <c r="H39" i="7"/>
  <c r="X38" i="7"/>
  <c r="W38" i="7"/>
  <c r="V38" i="7"/>
  <c r="U38" i="7"/>
  <c r="T38" i="7"/>
  <c r="P38" i="7"/>
  <c r="K38" i="7"/>
  <c r="H38" i="7"/>
  <c r="X37" i="7"/>
  <c r="W37" i="7"/>
  <c r="V37" i="7"/>
  <c r="U37" i="7"/>
  <c r="T37" i="7"/>
  <c r="P37" i="7"/>
  <c r="K37" i="7"/>
  <c r="H37" i="7"/>
  <c r="X36" i="7"/>
  <c r="W36" i="7"/>
  <c r="V36" i="7"/>
  <c r="U36" i="7"/>
  <c r="T36" i="7"/>
  <c r="P36" i="7"/>
  <c r="K36" i="7"/>
  <c r="H36" i="7"/>
  <c r="X35" i="7"/>
  <c r="W35" i="7"/>
  <c r="V35" i="7"/>
  <c r="U35" i="7"/>
  <c r="T35" i="7"/>
  <c r="P35" i="7"/>
  <c r="K35" i="7"/>
  <c r="H35" i="7"/>
  <c r="X34" i="7"/>
  <c r="W34" i="7"/>
  <c r="V34" i="7"/>
  <c r="U34" i="7"/>
  <c r="T34" i="7"/>
  <c r="P34" i="7"/>
  <c r="K34" i="7"/>
  <c r="H34" i="7"/>
  <c r="X33" i="7"/>
  <c r="W33" i="7"/>
  <c r="V33" i="7"/>
  <c r="U33" i="7"/>
  <c r="T33" i="7"/>
  <c r="P33" i="7"/>
  <c r="K33" i="7"/>
  <c r="H33" i="7"/>
  <c r="X32" i="7"/>
  <c r="W32" i="7"/>
  <c r="V32" i="7"/>
  <c r="U32" i="7"/>
  <c r="T32" i="7"/>
  <c r="P32" i="7"/>
  <c r="K32" i="7"/>
  <c r="H32" i="7"/>
  <c r="X31" i="7"/>
  <c r="W31" i="7"/>
  <c r="V31" i="7"/>
  <c r="U31" i="7"/>
  <c r="T31" i="7"/>
  <c r="P31" i="7"/>
  <c r="K31" i="7"/>
  <c r="H31" i="7"/>
  <c r="X30" i="7"/>
  <c r="W30" i="7"/>
  <c r="V30" i="7"/>
  <c r="U30" i="7"/>
  <c r="T30" i="7"/>
  <c r="P30" i="7"/>
  <c r="K30" i="7"/>
  <c r="H30" i="7"/>
  <c r="X29" i="7"/>
  <c r="W29" i="7"/>
  <c r="V29" i="7"/>
  <c r="U29" i="7"/>
  <c r="T29" i="7"/>
  <c r="P29" i="7"/>
  <c r="K29" i="7"/>
  <c r="H29" i="7"/>
  <c r="X28" i="7"/>
  <c r="W28" i="7"/>
  <c r="V28" i="7"/>
  <c r="U28" i="7"/>
  <c r="T28" i="7"/>
  <c r="P28" i="7"/>
  <c r="K28" i="7"/>
  <c r="H28" i="7"/>
  <c r="X27" i="7"/>
  <c r="W27" i="7"/>
  <c r="V27" i="7"/>
  <c r="U27" i="7"/>
  <c r="T27" i="7"/>
  <c r="P27" i="7"/>
  <c r="K27" i="7"/>
  <c r="H27" i="7"/>
  <c r="T5" i="7"/>
  <c r="P5" i="7"/>
  <c r="K5" i="7"/>
  <c r="H5" i="7"/>
  <c r="T4" i="7"/>
  <c r="P4" i="7"/>
  <c r="K4" i="7"/>
  <c r="H4" i="7"/>
  <c r="T3" i="7"/>
  <c r="P3" i="7"/>
  <c r="K3" i="7"/>
  <c r="K40" i="7" s="1"/>
  <c r="I9" i="2" s="1"/>
  <c r="H3" i="7"/>
  <c r="S40" i="6"/>
  <c r="R40" i="6"/>
  <c r="Q40" i="6"/>
  <c r="O40" i="6"/>
  <c r="N40" i="6"/>
  <c r="M40" i="6"/>
  <c r="L40" i="6"/>
  <c r="J40" i="6"/>
  <c r="I40" i="6"/>
  <c r="G40" i="6"/>
  <c r="F40" i="6"/>
  <c r="E40" i="6"/>
  <c r="D40" i="6"/>
  <c r="C40" i="6"/>
  <c r="H7" i="2" s="1"/>
  <c r="B40" i="6"/>
  <c r="X39" i="6"/>
  <c r="W39" i="6"/>
  <c r="V39" i="6"/>
  <c r="U39" i="6"/>
  <c r="T39" i="6"/>
  <c r="P39" i="6"/>
  <c r="K39" i="6"/>
  <c r="H39" i="6"/>
  <c r="X38" i="6"/>
  <c r="W38" i="6"/>
  <c r="V38" i="6"/>
  <c r="U38" i="6"/>
  <c r="T38" i="6"/>
  <c r="P38" i="6"/>
  <c r="K38" i="6"/>
  <c r="H38" i="6"/>
  <c r="X37" i="6"/>
  <c r="W37" i="6"/>
  <c r="V37" i="6"/>
  <c r="U37" i="6"/>
  <c r="T37" i="6"/>
  <c r="P37" i="6"/>
  <c r="K37" i="6"/>
  <c r="H37" i="6"/>
  <c r="X36" i="6"/>
  <c r="W36" i="6"/>
  <c r="V36" i="6"/>
  <c r="U36" i="6"/>
  <c r="T36" i="6"/>
  <c r="P36" i="6"/>
  <c r="K36" i="6"/>
  <c r="H36" i="6"/>
  <c r="X35" i="6"/>
  <c r="W35" i="6"/>
  <c r="V35" i="6"/>
  <c r="U35" i="6"/>
  <c r="T35" i="6"/>
  <c r="P35" i="6"/>
  <c r="K35" i="6"/>
  <c r="H35" i="6"/>
  <c r="X34" i="6"/>
  <c r="W34" i="6"/>
  <c r="V34" i="6"/>
  <c r="U34" i="6"/>
  <c r="T34" i="6"/>
  <c r="P34" i="6"/>
  <c r="K34" i="6"/>
  <c r="H34" i="6"/>
  <c r="X33" i="6"/>
  <c r="W33" i="6"/>
  <c r="V33" i="6"/>
  <c r="U33" i="6"/>
  <c r="T33" i="6"/>
  <c r="P33" i="6"/>
  <c r="K33" i="6"/>
  <c r="H33" i="6"/>
  <c r="X32" i="6"/>
  <c r="W32" i="6"/>
  <c r="V32" i="6"/>
  <c r="U32" i="6"/>
  <c r="T32" i="6"/>
  <c r="P32" i="6"/>
  <c r="K32" i="6"/>
  <c r="H32" i="6"/>
  <c r="X31" i="6"/>
  <c r="W31" i="6"/>
  <c r="V31" i="6"/>
  <c r="U31" i="6"/>
  <c r="T31" i="6"/>
  <c r="P31" i="6"/>
  <c r="K31" i="6"/>
  <c r="H31" i="6"/>
  <c r="X30" i="6"/>
  <c r="W30" i="6"/>
  <c r="V30" i="6"/>
  <c r="U30" i="6"/>
  <c r="T30" i="6"/>
  <c r="P30" i="6"/>
  <c r="K30" i="6"/>
  <c r="H30" i="6"/>
  <c r="X29" i="6"/>
  <c r="W29" i="6"/>
  <c r="V29" i="6"/>
  <c r="U29" i="6"/>
  <c r="T29" i="6"/>
  <c r="P29" i="6"/>
  <c r="K29" i="6"/>
  <c r="H29" i="6"/>
  <c r="X28" i="6"/>
  <c r="W28" i="6"/>
  <c r="V28" i="6"/>
  <c r="U28" i="6"/>
  <c r="T28" i="6"/>
  <c r="P28" i="6"/>
  <c r="K28" i="6"/>
  <c r="H28" i="6"/>
  <c r="X27" i="6"/>
  <c r="W27" i="6"/>
  <c r="V27" i="6"/>
  <c r="U27" i="6"/>
  <c r="T27" i="6"/>
  <c r="P27" i="6"/>
  <c r="K27" i="6"/>
  <c r="H27" i="6"/>
  <c r="T5" i="6"/>
  <c r="P5" i="6"/>
  <c r="K5" i="6"/>
  <c r="H5" i="6"/>
  <c r="T4" i="6"/>
  <c r="P4" i="6"/>
  <c r="K4" i="6"/>
  <c r="H4" i="6"/>
  <c r="T3" i="6"/>
  <c r="T40" i="6" s="1"/>
  <c r="H11" i="2" s="1"/>
  <c r="P3" i="6"/>
  <c r="K3" i="6"/>
  <c r="H3" i="6"/>
  <c r="S40" i="5"/>
  <c r="R40" i="5"/>
  <c r="Q40" i="5"/>
  <c r="O40" i="5"/>
  <c r="N40" i="5"/>
  <c r="M40" i="5"/>
  <c r="L40" i="5"/>
  <c r="J40" i="5"/>
  <c r="I40" i="5"/>
  <c r="G40" i="5"/>
  <c r="F40" i="5"/>
  <c r="E40" i="5"/>
  <c r="D40" i="5"/>
  <c r="C40" i="5"/>
  <c r="G7" i="2" s="1"/>
  <c r="B40" i="5"/>
  <c r="X39" i="5"/>
  <c r="W39" i="5"/>
  <c r="V39" i="5"/>
  <c r="U39" i="5"/>
  <c r="T39" i="5"/>
  <c r="P39" i="5"/>
  <c r="K39" i="5"/>
  <c r="H39" i="5"/>
  <c r="X38" i="5"/>
  <c r="W38" i="5"/>
  <c r="V38" i="5"/>
  <c r="U38" i="5"/>
  <c r="T38" i="5"/>
  <c r="P38" i="5"/>
  <c r="K38" i="5"/>
  <c r="H38" i="5"/>
  <c r="X37" i="5"/>
  <c r="W37" i="5"/>
  <c r="V37" i="5"/>
  <c r="U37" i="5"/>
  <c r="T37" i="5"/>
  <c r="P37" i="5"/>
  <c r="K37" i="5"/>
  <c r="H37" i="5"/>
  <c r="X36" i="5"/>
  <c r="W36" i="5"/>
  <c r="V36" i="5"/>
  <c r="U36" i="5"/>
  <c r="T36" i="5"/>
  <c r="P36" i="5"/>
  <c r="K36" i="5"/>
  <c r="H36" i="5"/>
  <c r="X35" i="5"/>
  <c r="W35" i="5"/>
  <c r="V35" i="5"/>
  <c r="U35" i="5"/>
  <c r="T35" i="5"/>
  <c r="P35" i="5"/>
  <c r="K35" i="5"/>
  <c r="H35" i="5"/>
  <c r="X34" i="5"/>
  <c r="W34" i="5"/>
  <c r="V34" i="5"/>
  <c r="U34" i="5"/>
  <c r="T34" i="5"/>
  <c r="P34" i="5"/>
  <c r="K34" i="5"/>
  <c r="H34" i="5"/>
  <c r="X33" i="5"/>
  <c r="W33" i="5"/>
  <c r="V33" i="5"/>
  <c r="U33" i="5"/>
  <c r="T33" i="5"/>
  <c r="P33" i="5"/>
  <c r="K33" i="5"/>
  <c r="H33" i="5"/>
  <c r="X32" i="5"/>
  <c r="W32" i="5"/>
  <c r="V32" i="5"/>
  <c r="U32" i="5"/>
  <c r="T32" i="5"/>
  <c r="P32" i="5"/>
  <c r="K32" i="5"/>
  <c r="H32" i="5"/>
  <c r="X31" i="5"/>
  <c r="W31" i="5"/>
  <c r="V31" i="5"/>
  <c r="U31" i="5"/>
  <c r="T31" i="5"/>
  <c r="P31" i="5"/>
  <c r="K31" i="5"/>
  <c r="H31" i="5"/>
  <c r="X30" i="5"/>
  <c r="W30" i="5"/>
  <c r="V30" i="5"/>
  <c r="U30" i="5"/>
  <c r="T30" i="5"/>
  <c r="P30" i="5"/>
  <c r="K30" i="5"/>
  <c r="H30" i="5"/>
  <c r="X29" i="5"/>
  <c r="W29" i="5"/>
  <c r="V29" i="5"/>
  <c r="U29" i="5"/>
  <c r="T29" i="5"/>
  <c r="P29" i="5"/>
  <c r="K29" i="5"/>
  <c r="H29" i="5"/>
  <c r="X28" i="5"/>
  <c r="W28" i="5"/>
  <c r="V28" i="5"/>
  <c r="U28" i="5"/>
  <c r="T28" i="5"/>
  <c r="P28" i="5"/>
  <c r="K28" i="5"/>
  <c r="H28" i="5"/>
  <c r="X27" i="5"/>
  <c r="W27" i="5"/>
  <c r="V27" i="5"/>
  <c r="U27" i="5"/>
  <c r="T27" i="5"/>
  <c r="P27" i="5"/>
  <c r="K27" i="5"/>
  <c r="H27" i="5"/>
  <c r="T5" i="5"/>
  <c r="P5" i="5"/>
  <c r="K5" i="5"/>
  <c r="H5" i="5"/>
  <c r="T4" i="5"/>
  <c r="P4" i="5"/>
  <c r="K4" i="5"/>
  <c r="H4" i="5"/>
  <c r="T3" i="5"/>
  <c r="P3" i="5"/>
  <c r="K3" i="5"/>
  <c r="K40" i="5" s="1"/>
  <c r="G9" i="2" s="1"/>
  <c r="H3" i="5"/>
  <c r="S40" i="3"/>
  <c r="R40" i="3"/>
  <c r="Q40" i="3"/>
  <c r="O40" i="3"/>
  <c r="N40" i="3"/>
  <c r="M40" i="3"/>
  <c r="L40" i="3"/>
  <c r="J40" i="3"/>
  <c r="I40" i="3"/>
  <c r="G40" i="3"/>
  <c r="F40" i="3"/>
  <c r="E40" i="3"/>
  <c r="D40" i="3"/>
  <c r="C40" i="3"/>
  <c r="F7" i="2" s="1"/>
  <c r="B40" i="3"/>
  <c r="X39" i="3"/>
  <c r="W39" i="3"/>
  <c r="V39" i="3"/>
  <c r="U39" i="3"/>
  <c r="T39" i="3"/>
  <c r="P39" i="3"/>
  <c r="K39" i="3"/>
  <c r="H39" i="3"/>
  <c r="X38" i="3"/>
  <c r="W38" i="3"/>
  <c r="V38" i="3"/>
  <c r="U38" i="3"/>
  <c r="T38" i="3"/>
  <c r="P38" i="3"/>
  <c r="K38" i="3"/>
  <c r="H38" i="3"/>
  <c r="X37" i="3"/>
  <c r="W37" i="3"/>
  <c r="V37" i="3"/>
  <c r="U37" i="3"/>
  <c r="T37" i="3"/>
  <c r="P37" i="3"/>
  <c r="K37" i="3"/>
  <c r="H37" i="3"/>
  <c r="X36" i="3"/>
  <c r="W36" i="3"/>
  <c r="V36" i="3"/>
  <c r="U36" i="3"/>
  <c r="T36" i="3"/>
  <c r="P36" i="3"/>
  <c r="K36" i="3"/>
  <c r="H36" i="3"/>
  <c r="X35" i="3"/>
  <c r="W35" i="3"/>
  <c r="V35" i="3"/>
  <c r="U35" i="3"/>
  <c r="T35" i="3"/>
  <c r="P35" i="3"/>
  <c r="K35" i="3"/>
  <c r="H35" i="3"/>
  <c r="X34" i="3"/>
  <c r="W34" i="3"/>
  <c r="V34" i="3"/>
  <c r="U34" i="3"/>
  <c r="T34" i="3"/>
  <c r="P34" i="3"/>
  <c r="K34" i="3"/>
  <c r="H34" i="3"/>
  <c r="X33" i="3"/>
  <c r="W33" i="3"/>
  <c r="V33" i="3"/>
  <c r="U33" i="3"/>
  <c r="T33" i="3"/>
  <c r="P33" i="3"/>
  <c r="K33" i="3"/>
  <c r="H33" i="3"/>
  <c r="X32" i="3"/>
  <c r="W32" i="3"/>
  <c r="V32" i="3"/>
  <c r="U32" i="3"/>
  <c r="T32" i="3"/>
  <c r="P32" i="3"/>
  <c r="K32" i="3"/>
  <c r="H32" i="3"/>
  <c r="X31" i="3"/>
  <c r="W31" i="3"/>
  <c r="V31" i="3"/>
  <c r="U31" i="3"/>
  <c r="T31" i="3"/>
  <c r="P31" i="3"/>
  <c r="K31" i="3"/>
  <c r="H31" i="3"/>
  <c r="X30" i="3"/>
  <c r="W30" i="3"/>
  <c r="V30" i="3"/>
  <c r="U30" i="3"/>
  <c r="T30" i="3"/>
  <c r="P30" i="3"/>
  <c r="K30" i="3"/>
  <c r="H30" i="3"/>
  <c r="X29" i="3"/>
  <c r="W29" i="3"/>
  <c r="V29" i="3"/>
  <c r="U29" i="3"/>
  <c r="T29" i="3"/>
  <c r="P29" i="3"/>
  <c r="K29" i="3"/>
  <c r="H29" i="3"/>
  <c r="X28" i="3"/>
  <c r="W28" i="3"/>
  <c r="V28" i="3"/>
  <c r="U28" i="3"/>
  <c r="T28" i="3"/>
  <c r="P28" i="3"/>
  <c r="K28" i="3"/>
  <c r="H28" i="3"/>
  <c r="X27" i="3"/>
  <c r="W27" i="3"/>
  <c r="V27" i="3"/>
  <c r="U27" i="3"/>
  <c r="T27" i="3"/>
  <c r="P27" i="3"/>
  <c r="K27" i="3"/>
  <c r="H27" i="3"/>
  <c r="T5" i="3"/>
  <c r="P5" i="3"/>
  <c r="K5" i="3"/>
  <c r="H5" i="3"/>
  <c r="T4" i="3"/>
  <c r="P4" i="3"/>
  <c r="K4" i="3"/>
  <c r="H4" i="3"/>
  <c r="T3" i="3"/>
  <c r="P3" i="3"/>
  <c r="K3" i="3"/>
  <c r="H3" i="3"/>
  <c r="S40" i="4"/>
  <c r="R40" i="4"/>
  <c r="Q40" i="4"/>
  <c r="O40" i="4"/>
  <c r="N40" i="4"/>
  <c r="M40" i="4"/>
  <c r="L40" i="4"/>
  <c r="J40" i="4"/>
  <c r="I40" i="4"/>
  <c r="G40" i="4"/>
  <c r="F40" i="4"/>
  <c r="E40" i="4"/>
  <c r="D40" i="4"/>
  <c r="C40" i="4"/>
  <c r="E7" i="2" s="1"/>
  <c r="B40" i="4"/>
  <c r="X39" i="4"/>
  <c r="W39" i="4"/>
  <c r="V39" i="4"/>
  <c r="U39" i="4"/>
  <c r="T39" i="4"/>
  <c r="P39" i="4"/>
  <c r="K39" i="4"/>
  <c r="H39" i="4"/>
  <c r="X38" i="4"/>
  <c r="W38" i="4"/>
  <c r="V38" i="4"/>
  <c r="U38" i="4"/>
  <c r="T38" i="4"/>
  <c r="P38" i="4"/>
  <c r="K38" i="4"/>
  <c r="H38" i="4"/>
  <c r="X37" i="4"/>
  <c r="W37" i="4"/>
  <c r="V37" i="4"/>
  <c r="U37" i="4"/>
  <c r="T37" i="4"/>
  <c r="P37" i="4"/>
  <c r="K37" i="4"/>
  <c r="H37" i="4"/>
  <c r="X36" i="4"/>
  <c r="W36" i="4"/>
  <c r="V36" i="4"/>
  <c r="U36" i="4"/>
  <c r="T36" i="4"/>
  <c r="P36" i="4"/>
  <c r="K36" i="4"/>
  <c r="H36" i="4"/>
  <c r="X35" i="4"/>
  <c r="W35" i="4"/>
  <c r="V35" i="4"/>
  <c r="U35" i="4"/>
  <c r="T35" i="4"/>
  <c r="P35" i="4"/>
  <c r="K35" i="4"/>
  <c r="H35" i="4"/>
  <c r="X34" i="4"/>
  <c r="W34" i="4"/>
  <c r="V34" i="4"/>
  <c r="U34" i="4"/>
  <c r="T34" i="4"/>
  <c r="P34" i="4"/>
  <c r="K34" i="4"/>
  <c r="H34" i="4"/>
  <c r="X33" i="4"/>
  <c r="W33" i="4"/>
  <c r="V33" i="4"/>
  <c r="U33" i="4"/>
  <c r="T33" i="4"/>
  <c r="P33" i="4"/>
  <c r="K33" i="4"/>
  <c r="H33" i="4"/>
  <c r="X32" i="4"/>
  <c r="W32" i="4"/>
  <c r="V32" i="4"/>
  <c r="U32" i="4"/>
  <c r="T32" i="4"/>
  <c r="P32" i="4"/>
  <c r="K32" i="4"/>
  <c r="H32" i="4"/>
  <c r="X31" i="4"/>
  <c r="W31" i="4"/>
  <c r="V31" i="4"/>
  <c r="U31" i="4"/>
  <c r="T31" i="4"/>
  <c r="P31" i="4"/>
  <c r="K31" i="4"/>
  <c r="H31" i="4"/>
  <c r="X30" i="4"/>
  <c r="W30" i="4"/>
  <c r="V30" i="4"/>
  <c r="U30" i="4"/>
  <c r="T30" i="4"/>
  <c r="P30" i="4"/>
  <c r="K30" i="4"/>
  <c r="H30" i="4"/>
  <c r="X29" i="4"/>
  <c r="W29" i="4"/>
  <c r="V29" i="4"/>
  <c r="U29" i="4"/>
  <c r="T29" i="4"/>
  <c r="P29" i="4"/>
  <c r="K29" i="4"/>
  <c r="H29" i="4"/>
  <c r="X28" i="4"/>
  <c r="W28" i="4"/>
  <c r="V28" i="4"/>
  <c r="U28" i="4"/>
  <c r="T28" i="4"/>
  <c r="P28" i="4"/>
  <c r="K28" i="4"/>
  <c r="H28" i="4"/>
  <c r="X27" i="4"/>
  <c r="W27" i="4"/>
  <c r="V27" i="4"/>
  <c r="U27" i="4"/>
  <c r="T27" i="4"/>
  <c r="P27" i="4"/>
  <c r="K27" i="4"/>
  <c r="H27" i="4"/>
  <c r="T5" i="4"/>
  <c r="P5" i="4"/>
  <c r="K5" i="4"/>
  <c r="H5" i="4"/>
  <c r="T4" i="4"/>
  <c r="P4" i="4"/>
  <c r="K4" i="4"/>
  <c r="H4" i="4"/>
  <c r="T3" i="4"/>
  <c r="P3" i="4"/>
  <c r="K3" i="4"/>
  <c r="H3" i="4"/>
  <c r="T40" i="13" l="1"/>
  <c r="O11" i="2" s="1"/>
  <c r="P40" i="13"/>
  <c r="O10" i="2" s="1"/>
  <c r="K40" i="12"/>
  <c r="N9" i="2" s="1"/>
  <c r="T40" i="11"/>
  <c r="M11" i="2" s="1"/>
  <c r="P40" i="11"/>
  <c r="M10" i="2" s="1"/>
  <c r="V3" i="11"/>
  <c r="X3" i="11" s="1"/>
  <c r="V4" i="11"/>
  <c r="X4" i="11" s="1"/>
  <c r="V5" i="11"/>
  <c r="X5" i="11" s="1"/>
  <c r="T40" i="10"/>
  <c r="L11" i="2" s="1"/>
  <c r="P40" i="10"/>
  <c r="L10" i="2" s="1"/>
  <c r="V4" i="10"/>
  <c r="X4" i="10" s="1"/>
  <c r="V5" i="10"/>
  <c r="X5" i="10" s="1"/>
  <c r="T40" i="9"/>
  <c r="K11" i="2" s="1"/>
  <c r="T40" i="8"/>
  <c r="J11" i="2" s="1"/>
  <c r="P40" i="8"/>
  <c r="J10" i="2" s="1"/>
  <c r="T40" i="7"/>
  <c r="I11" i="2" s="1"/>
  <c r="P40" i="6"/>
  <c r="H10" i="2" s="1"/>
  <c r="V4" i="6"/>
  <c r="V5" i="6"/>
  <c r="X5" i="6" s="1"/>
  <c r="P40" i="5"/>
  <c r="G10" i="2" s="1"/>
  <c r="V5" i="5"/>
  <c r="X5" i="5" s="1"/>
  <c r="T40" i="5"/>
  <c r="G11" i="2" s="1"/>
  <c r="U3" i="5"/>
  <c r="U4" i="5"/>
  <c r="U5" i="5"/>
  <c r="W5" i="5" s="1"/>
  <c r="P40" i="3"/>
  <c r="F10" i="2" s="1"/>
  <c r="K40" i="3"/>
  <c r="F9" i="2" s="1"/>
  <c r="H40" i="3"/>
  <c r="F8" i="2" s="1"/>
  <c r="P40" i="4"/>
  <c r="E10" i="2" s="1"/>
  <c r="V3" i="4"/>
  <c r="X3" i="4" s="1"/>
  <c r="W27" i="1"/>
  <c r="H40" i="10"/>
  <c r="L8" i="2" s="1"/>
  <c r="V5" i="8"/>
  <c r="X5" i="8" s="1"/>
  <c r="V4" i="8"/>
  <c r="X4" i="8" s="1"/>
  <c r="P40" i="7"/>
  <c r="I10" i="2" s="1"/>
  <c r="T40" i="3"/>
  <c r="F11" i="2" s="1"/>
  <c r="V4" i="4"/>
  <c r="T40" i="4"/>
  <c r="E11" i="2" s="1"/>
  <c r="V5" i="4"/>
  <c r="X5" i="4" s="1"/>
  <c r="U5" i="13"/>
  <c r="V5" i="13"/>
  <c r="U4" i="13"/>
  <c r="V4" i="13"/>
  <c r="U3" i="13"/>
  <c r="U5" i="12"/>
  <c r="V5" i="12"/>
  <c r="X5" i="12" s="1"/>
  <c r="U3" i="12"/>
  <c r="P40" i="12"/>
  <c r="N10" i="2" s="1"/>
  <c r="T40" i="12"/>
  <c r="N11" i="2" s="1"/>
  <c r="U4" i="12"/>
  <c r="V4" i="12"/>
  <c r="X4" i="12" s="1"/>
  <c r="U5" i="11"/>
  <c r="U4" i="11"/>
  <c r="U3" i="11"/>
  <c r="U5" i="10"/>
  <c r="K40" i="10"/>
  <c r="L9" i="2" s="1"/>
  <c r="U4" i="10"/>
  <c r="V3" i="10"/>
  <c r="U3" i="10"/>
  <c r="U5" i="9"/>
  <c r="P40" i="9"/>
  <c r="K10" i="2" s="1"/>
  <c r="V5" i="9"/>
  <c r="X5" i="9" s="1"/>
  <c r="U4" i="9"/>
  <c r="V4" i="9"/>
  <c r="X4" i="9" s="1"/>
  <c r="U3" i="9"/>
  <c r="K40" i="8"/>
  <c r="J9" i="2" s="1"/>
  <c r="U5" i="8"/>
  <c r="U4" i="8"/>
  <c r="U3" i="8"/>
  <c r="H40" i="8"/>
  <c r="J8" i="2" s="1"/>
  <c r="U5" i="7"/>
  <c r="V5" i="7"/>
  <c r="X5" i="7" s="1"/>
  <c r="U4" i="7"/>
  <c r="V4" i="7"/>
  <c r="X4" i="7" s="1"/>
  <c r="U3" i="7"/>
  <c r="U5" i="6"/>
  <c r="K40" i="6"/>
  <c r="H9" i="2" s="1"/>
  <c r="U4" i="6"/>
  <c r="W4" i="6" s="1"/>
  <c r="U3" i="6"/>
  <c r="V4" i="5"/>
  <c r="X4" i="5" s="1"/>
  <c r="V3" i="5"/>
  <c r="V5" i="3"/>
  <c r="X5" i="3" s="1"/>
  <c r="U5" i="3"/>
  <c r="U4" i="3"/>
  <c r="V4" i="3"/>
  <c r="U3" i="3"/>
  <c r="U5" i="4"/>
  <c r="U4" i="4"/>
  <c r="U3" i="4"/>
  <c r="V3" i="13"/>
  <c r="H40" i="13"/>
  <c r="O8" i="2" s="1"/>
  <c r="H40" i="12"/>
  <c r="N8" i="2" s="1"/>
  <c r="V3" i="12"/>
  <c r="K40" i="11"/>
  <c r="M9" i="2" s="1"/>
  <c r="H40" i="11"/>
  <c r="M8" i="2" s="1"/>
  <c r="V3" i="9"/>
  <c r="H40" i="9"/>
  <c r="K8" i="2" s="1"/>
  <c r="V3" i="8"/>
  <c r="V3" i="7"/>
  <c r="H40" i="7"/>
  <c r="I8" i="2" s="1"/>
  <c r="X4" i="6"/>
  <c r="H40" i="6"/>
  <c r="H8" i="2" s="1"/>
  <c r="V3" i="6"/>
  <c r="H40" i="5"/>
  <c r="G8" i="2" s="1"/>
  <c r="V3" i="3"/>
  <c r="K40" i="4"/>
  <c r="E9" i="2" s="1"/>
  <c r="H40" i="4"/>
  <c r="E8" i="2" s="1"/>
  <c r="O12" i="2" l="1"/>
  <c r="O13" i="2" s="1"/>
  <c r="W5" i="13"/>
  <c r="W4" i="13"/>
  <c r="X5" i="13"/>
  <c r="U40" i="12"/>
  <c r="N12" i="2"/>
  <c r="N13" i="2" s="1"/>
  <c r="W5" i="12"/>
  <c r="W3" i="11"/>
  <c r="V40" i="11"/>
  <c r="W5" i="11"/>
  <c r="M12" i="2"/>
  <c r="M13" i="2" s="1"/>
  <c r="W4" i="11"/>
  <c r="U40" i="11"/>
  <c r="W4" i="10"/>
  <c r="W5" i="10"/>
  <c r="W3" i="10"/>
  <c r="V40" i="10"/>
  <c r="X3" i="10"/>
  <c r="L12" i="2"/>
  <c r="L13" i="2" s="1"/>
  <c r="U40" i="10"/>
  <c r="W5" i="9"/>
  <c r="K12" i="2"/>
  <c r="K13" i="2" s="1"/>
  <c r="J12" i="2"/>
  <c r="J13" i="2" s="1"/>
  <c r="W4" i="8"/>
  <c r="W5" i="8"/>
  <c r="U40" i="7"/>
  <c r="W5" i="7"/>
  <c r="I12" i="2"/>
  <c r="I13" i="2" s="1"/>
  <c r="H12" i="2"/>
  <c r="H13" i="2" s="1"/>
  <c r="W5" i="6"/>
  <c r="U40" i="6"/>
  <c r="U40" i="5"/>
  <c r="G12" i="2"/>
  <c r="G13" i="2" s="1"/>
  <c r="W4" i="5"/>
  <c r="V40" i="5"/>
  <c r="X3" i="5"/>
  <c r="W3" i="5"/>
  <c r="W4" i="3"/>
  <c r="F12" i="2"/>
  <c r="F13" i="2" s="1"/>
  <c r="X4" i="3"/>
  <c r="W5" i="4"/>
  <c r="V40" i="4"/>
  <c r="E12" i="2"/>
  <c r="E13" i="2" s="1"/>
  <c r="W4" i="4"/>
  <c r="U40" i="4"/>
  <c r="X4" i="4"/>
  <c r="X4" i="13"/>
  <c r="U40" i="13"/>
  <c r="W4" i="12"/>
  <c r="W4" i="9"/>
  <c r="U40" i="9"/>
  <c r="U40" i="8"/>
  <c r="W4" i="7"/>
  <c r="W5" i="3"/>
  <c r="U40" i="3"/>
  <c r="W3" i="4"/>
  <c r="V40" i="13"/>
  <c r="X3" i="13"/>
  <c r="W3" i="13"/>
  <c r="V40" i="12"/>
  <c r="X3" i="12"/>
  <c r="W3" i="12"/>
  <c r="V40" i="9"/>
  <c r="X3" i="9"/>
  <c r="W3" i="9"/>
  <c r="V40" i="8"/>
  <c r="W3" i="8"/>
  <c r="X3" i="8"/>
  <c r="V40" i="7"/>
  <c r="X3" i="7"/>
  <c r="W3" i="7"/>
  <c r="V40" i="6"/>
  <c r="X3" i="6"/>
  <c r="W3" i="6"/>
  <c r="V40" i="3"/>
  <c r="X3" i="3"/>
  <c r="W3" i="3"/>
  <c r="D40" i="1" l="1"/>
  <c r="E40" i="1"/>
  <c r="F40" i="1"/>
  <c r="G40" i="1"/>
  <c r="I40" i="1"/>
  <c r="J40" i="1"/>
  <c r="L40" i="1"/>
  <c r="M40" i="1"/>
  <c r="N40" i="1"/>
  <c r="O40" i="1"/>
  <c r="Q40" i="1"/>
  <c r="R40" i="1"/>
  <c r="S40" i="1"/>
  <c r="D7" i="2"/>
  <c r="P7" i="2" s="1"/>
  <c r="T39" i="1"/>
  <c r="P39" i="1"/>
  <c r="K39" i="1"/>
  <c r="H39" i="1"/>
  <c r="T38" i="1"/>
  <c r="P38" i="1"/>
  <c r="K38" i="1"/>
  <c r="H38" i="1"/>
  <c r="T37" i="1"/>
  <c r="P37" i="1"/>
  <c r="K37" i="1"/>
  <c r="H37" i="1"/>
  <c r="T36" i="1"/>
  <c r="P36" i="1"/>
  <c r="K36" i="1"/>
  <c r="H36" i="1"/>
  <c r="T35" i="1"/>
  <c r="P35" i="1"/>
  <c r="K35" i="1"/>
  <c r="H35" i="1"/>
  <c r="T34" i="1"/>
  <c r="P34" i="1"/>
  <c r="K34" i="1"/>
  <c r="H34" i="1"/>
  <c r="T33" i="1"/>
  <c r="P33" i="1"/>
  <c r="K33" i="1"/>
  <c r="H33" i="1"/>
  <c r="T32" i="1"/>
  <c r="P32" i="1"/>
  <c r="K32" i="1"/>
  <c r="H32" i="1"/>
  <c r="T31" i="1"/>
  <c r="P31" i="1"/>
  <c r="K31" i="1"/>
  <c r="H31" i="1"/>
  <c r="T30" i="1"/>
  <c r="P30" i="1"/>
  <c r="K30" i="1"/>
  <c r="H30" i="1"/>
  <c r="T29" i="1"/>
  <c r="P29" i="1"/>
  <c r="K29" i="1"/>
  <c r="H29" i="1"/>
  <c r="T28" i="1"/>
  <c r="P28" i="1"/>
  <c r="K28" i="1"/>
  <c r="H28" i="1"/>
  <c r="T5" i="1"/>
  <c r="P5" i="1"/>
  <c r="K5" i="1"/>
  <c r="T4" i="1"/>
  <c r="P4" i="1"/>
  <c r="K4" i="1"/>
  <c r="H4" i="1"/>
  <c r="T3" i="1"/>
  <c r="P3" i="1"/>
  <c r="K3" i="1"/>
  <c r="V31" i="1" l="1"/>
  <c r="X31" i="1" s="1"/>
  <c r="U36" i="1"/>
  <c r="V28" i="1"/>
  <c r="X28" i="1" s="1"/>
  <c r="U29" i="1"/>
  <c r="U30" i="1"/>
  <c r="U31" i="1"/>
  <c r="U38" i="1"/>
  <c r="V34" i="1"/>
  <c r="X34" i="1" s="1"/>
  <c r="V37" i="1"/>
  <c r="V39" i="1"/>
  <c r="X39" i="1" s="1"/>
  <c r="V36" i="1"/>
  <c r="X36" i="1" s="1"/>
  <c r="U32" i="1"/>
  <c r="U33" i="1"/>
  <c r="V29" i="1"/>
  <c r="U35" i="1"/>
  <c r="V38" i="1"/>
  <c r="X37" i="1"/>
  <c r="V30" i="1"/>
  <c r="U34" i="1"/>
  <c r="V35" i="1"/>
  <c r="U37" i="1"/>
  <c r="V32" i="1"/>
  <c r="V33" i="1"/>
  <c r="U39" i="1"/>
  <c r="U28" i="1"/>
  <c r="V3" i="1"/>
  <c r="K40" i="1"/>
  <c r="V4" i="1"/>
  <c r="X4" i="1" s="1"/>
  <c r="T40" i="1"/>
  <c r="D11" i="2" s="1"/>
  <c r="P11" i="2" s="1"/>
  <c r="H40" i="1"/>
  <c r="D8" i="2" s="1"/>
  <c r="P40" i="1"/>
  <c r="D10" i="2" s="1"/>
  <c r="P10" i="2" s="1"/>
  <c r="V5" i="1"/>
  <c r="X5" i="1" s="1"/>
  <c r="U3" i="1"/>
  <c r="U4" i="1"/>
  <c r="U5" i="1"/>
  <c r="D9" i="2" l="1"/>
  <c r="D12" i="2" s="1"/>
  <c r="W31" i="1"/>
  <c r="W28" i="1"/>
  <c r="W36" i="1"/>
  <c r="W34" i="1"/>
  <c r="W39" i="1"/>
  <c r="W37" i="1"/>
  <c r="W33" i="1"/>
  <c r="X33" i="1"/>
  <c r="X32" i="1"/>
  <c r="W32" i="1"/>
  <c r="X38" i="1"/>
  <c r="W38" i="1"/>
  <c r="X30" i="1"/>
  <c r="W30" i="1"/>
  <c r="X35" i="1"/>
  <c r="W35" i="1"/>
  <c r="W29" i="1"/>
  <c r="X29" i="1"/>
  <c r="W4" i="1"/>
  <c r="P8" i="2"/>
  <c r="U40" i="1"/>
  <c r="W5" i="1"/>
  <c r="W3" i="1"/>
  <c r="P9" i="2" l="1"/>
  <c r="P12" i="2"/>
  <c r="P13" i="2" s="1"/>
  <c r="D13" i="2"/>
</calcChain>
</file>

<file path=xl/sharedStrings.xml><?xml version="1.0" encoding="utf-8"?>
<sst xmlns="http://schemas.openxmlformats.org/spreadsheetml/2006/main" count="396" uniqueCount="70">
  <si>
    <t xml:space="preserve">Chiffres d'affaires </t>
  </si>
  <si>
    <t xml:space="preserve">Charges directes </t>
  </si>
  <si>
    <t>Charges indirectes</t>
  </si>
  <si>
    <t>Coûts administratifs</t>
  </si>
  <si>
    <t>Coût de revient</t>
  </si>
  <si>
    <t xml:space="preserve">Marge nette </t>
  </si>
  <si>
    <t xml:space="preserve">Date  </t>
  </si>
  <si>
    <t>Libellé de la prestation de services</t>
  </si>
  <si>
    <t>Montant HT</t>
  </si>
  <si>
    <t>Matières premières</t>
  </si>
  <si>
    <t>Marchandises</t>
  </si>
  <si>
    <t>Consommables</t>
  </si>
  <si>
    <t>Frais de livraison liés aux achats</t>
  </si>
  <si>
    <t>Couts d'achat et d'approvisionnement</t>
  </si>
  <si>
    <t>Mains d’œuvre avec charges sociales et patronales,</t>
  </si>
  <si>
    <t>Charges locatives</t>
  </si>
  <si>
    <t>Coûts de production</t>
  </si>
  <si>
    <t>Marketing</t>
  </si>
  <si>
    <t>Prospection</t>
  </si>
  <si>
    <t>Commerciaux</t>
  </si>
  <si>
    <t>Livraison</t>
  </si>
  <si>
    <t>Coûts de commercialisation et distribution</t>
  </si>
  <si>
    <t>services généraux</t>
  </si>
  <si>
    <t>frais divers</t>
  </si>
  <si>
    <t>impôts</t>
  </si>
  <si>
    <t>Coût de revient unitaire</t>
  </si>
  <si>
    <t xml:space="preserve">Marge nette sur prestation </t>
  </si>
  <si>
    <t>Taux de marge</t>
  </si>
  <si>
    <t xml:space="preserve">Taux de marque </t>
  </si>
  <si>
    <t xml:space="preserve">Conception produit 1 </t>
  </si>
  <si>
    <t xml:space="preserve">Conception produit 2 </t>
  </si>
  <si>
    <t xml:space="preserve">Prestation divers </t>
  </si>
  <si>
    <t>Janvier</t>
  </si>
  <si>
    <t xml:space="preserve">Février 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</si>
  <si>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</si>
  <si>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</si>
  <si>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</si>
  <si>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</si>
  <si>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</si>
  <si>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</si>
  <si>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</si>
  <si>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</si>
  <si>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</si>
  <si>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 xml:space="preserve">Décembre </t>
  </si>
  <si>
    <t xml:space="preserve">Année 2018 </t>
  </si>
  <si>
    <t>Coûts de la production</t>
  </si>
  <si>
    <t>Coûts de commercialisation</t>
  </si>
  <si>
    <t>Marge nette</t>
  </si>
  <si>
    <t>Cout de revient</t>
  </si>
  <si>
    <t>Dénomination</t>
  </si>
  <si>
    <t>Adresse</t>
  </si>
  <si>
    <t>Téléphone</t>
  </si>
  <si>
    <t>SIREN</t>
  </si>
  <si>
    <t>SIRET (siege)</t>
  </si>
  <si>
    <t>N° de TVA Intracommunautaire</t>
  </si>
  <si>
    <t>Activité (Code NAF ou APE)</t>
  </si>
  <si>
    <t>Forme juridique</t>
  </si>
  <si>
    <t>Date création entreprise</t>
  </si>
  <si>
    <t xml:space="preserve">Analyse du chiffre d'affaires et calcul de la marge nette  </t>
  </si>
  <si>
    <t>Version : 1.0</t>
  </si>
  <si>
    <t xml:space="preserve"> </t>
  </si>
  <si>
    <t>Remplissez vos données dans les zones :</t>
  </si>
  <si>
    <t>Vous souhaitez obtenir le mot de passe de ce document pour le customiser ?</t>
  </si>
  <si>
    <t>Obtenez le code pour déverrouiller et modifier ce document comme vous l'entendez :</t>
  </si>
  <si>
    <t>Cliquez ici :</t>
  </si>
  <si>
    <t>(ou recopiez le lien en cas de problème)</t>
  </si>
  <si>
    <t xml:space="preserve">Dans le tableau de bord cliquez sur le titre du mois pour accéder à la page dédiée </t>
  </si>
  <si>
    <t xml:space="preserve">Exemple : Si vous souhaitez accéder à la saisie du mois de janvier, cliquez sur le titre du mois de janvier comme le montre l'image ci-dessous : </t>
  </si>
  <si>
    <t xml:space="preserve"> https://www.projetentreprise.fr/produit/mot-de-passe-tableau-suivi-chiffre-affaires-marge/</t>
  </si>
  <si>
    <t>Tableau de bord (onglet non modifiable)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</si>
</sst>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\ &quot;€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990033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b/>
      <sz val="16"/>
      <color rgb="FF215868"/>
      <name val="Arial"/>
      <family val="2"/>
    </font>
    <font>
      <sz val="10"/>
      <name val="Arial"/>
      <family val="2"/>
    </font>
    <font>
      <b/>
      <sz val="10"/>
      <color rgb="FF215868"/>
      <name val="Arial"/>
      <family val="2"/>
    </font>
    <font>
      <sz val="11"/>
      <color rgb="FF31849B"/>
      <name val="Arial"/>
      <family val="2"/>
    </font>
    <font>
      <b/>
      <sz val="12"/>
      <color indexed="52"/>
      <name val="Arial"/>
      <family val="2"/>
    </font>
    <font>
      <b/>
      <sz val="11"/>
      <color theme="9" tint="-0.249977111117893"/>
      <name val="Arial"/>
      <family val="2"/>
    </font>
    <font>
      <b/>
      <sz val="10"/>
      <color rgb="FF990033"/>
      <name val="Arial"/>
      <family val="2"/>
    </font>
    <font>
      <b/>
      <sz val="12"/>
      <color rgb="FF582800"/>
      <name val="Arial"/>
      <family val="2"/>
    </font>
    <font>
      <b/>
      <sz val="12"/>
      <color theme="7" tint="0.79998168889431442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i/>
      <sz val="11"/>
      <color rgb="FFFF0000"/>
      <name val="Arial"/>
      <family val="2"/>
    </font>
    <font>
      <b/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990033"/>
      </left>
      <right style="hair">
        <color rgb="FF990033"/>
      </right>
      <top style="hair">
        <color rgb="FF990033"/>
      </top>
      <bottom style="hair">
        <color rgb="FF9900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5" fillId="2" borderId="0"/>
    <xf numFmtId="0" fontId="16" fillId="0" borderId="0"/>
    <xf numFmtId="0" fontId="17" fillId="2" borderId="0"/>
    <xf numFmtId="0" fontId="18" fillId="2" borderId="0"/>
    <xf numFmtId="0" fontId="22" fillId="15" borderId="6" applyNumberFormat="0" applyProtection="0"/>
  </cellStyleXfs>
  <cellXfs count="65">
    <xf numFmtId="0" fontId="0" fillId="0" borderId="0" xfId="0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/>
    <xf numFmtId="14" fontId="9" fillId="4" borderId="1" xfId="0" applyNumberFormat="1" applyFont="1" applyFill="1" applyBorder="1"/>
    <xf numFmtId="0" fontId="6" fillId="12" borderId="1" xfId="0" applyFont="1" applyFill="1" applyBorder="1" applyAlignment="1">
      <alignment vertical="center"/>
    </xf>
    <xf numFmtId="164" fontId="9" fillId="5" borderId="1" xfId="0" applyNumberFormat="1" applyFont="1" applyFill="1" applyBorder="1" applyAlignment="1">
      <alignment horizontal="right"/>
    </xf>
    <xf numFmtId="164" fontId="9" fillId="5" borderId="1" xfId="1" applyNumberFormat="1" applyFont="1" applyFill="1" applyBorder="1" applyAlignment="1">
      <alignment horizontal="right"/>
    </xf>
    <xf numFmtId="0" fontId="9" fillId="5" borderId="1" xfId="0" applyFont="1" applyFill="1" applyBorder="1"/>
    <xf numFmtId="164" fontId="10" fillId="5" borderId="1" xfId="0" applyNumberFormat="1" applyFont="1" applyFill="1" applyBorder="1" applyAlignment="1">
      <alignment horizontal="right"/>
    </xf>
    <xf numFmtId="9" fontId="9" fillId="5" borderId="1" xfId="2" applyFont="1" applyFill="1" applyBorder="1"/>
    <xf numFmtId="0" fontId="5" fillId="8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left" vertical="center" wrapText="1"/>
    </xf>
    <xf numFmtId="165" fontId="5" fillId="5" borderId="1" xfId="0" applyNumberFormat="1" applyFont="1" applyFill="1" applyBorder="1" applyAlignment="1">
      <alignment vertical="center"/>
    </xf>
    <xf numFmtId="165" fontId="5" fillId="5" borderId="1" xfId="0" quotePrefix="1" applyNumberFormat="1" applyFont="1" applyFill="1" applyBorder="1" applyAlignment="1">
      <alignment vertical="center" wrapText="1"/>
    </xf>
    <xf numFmtId="165" fontId="7" fillId="8" borderId="1" xfId="0" quotePrefix="1" applyNumberFormat="1" applyFont="1" applyFill="1" applyBorder="1" applyAlignment="1">
      <alignment vertical="center" wrapText="1"/>
    </xf>
    <xf numFmtId="165" fontId="7" fillId="13" borderId="1" xfId="0" applyNumberFormat="1" applyFont="1" applyFill="1" applyBorder="1" applyAlignment="1">
      <alignment vertical="center"/>
    </xf>
    <xf numFmtId="0" fontId="7" fillId="13" borderId="1" xfId="0" applyFont="1" applyFill="1" applyBorder="1" applyAlignment="1">
      <alignment horizontal="left" vertical="center"/>
    </xf>
    <xf numFmtId="0" fontId="7" fillId="8" borderId="1" xfId="0" quotePrefix="1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vertical="center"/>
    </xf>
    <xf numFmtId="0" fontId="1" fillId="14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12" fillId="2" borderId="0" xfId="0" applyFont="1" applyFill="1"/>
    <xf numFmtId="0" fontId="4" fillId="14" borderId="5" xfId="0" applyFont="1" applyFill="1" applyBorder="1" applyAlignment="1" applyProtection="1">
      <alignment horizontal="left"/>
    </xf>
    <xf numFmtId="49" fontId="13" fillId="6" borderId="5" xfId="1" applyNumberFormat="1" applyFont="1" applyFill="1" applyBorder="1" applyProtection="1">
      <protection locked="0"/>
    </xf>
    <xf numFmtId="14" fontId="13" fillId="6" borderId="5" xfId="1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/>
    <xf numFmtId="0" fontId="14" fillId="2" borderId="1" xfId="3" applyFont="1" applyFill="1" applyBorder="1" applyAlignment="1">
      <alignment horizontal="center" vertical="center"/>
    </xf>
    <xf numFmtId="0" fontId="15" fillId="2" borderId="0" xfId="4" applyFill="1" applyAlignment="1" applyProtection="1">
      <alignment vertical="top"/>
      <protection hidden="1"/>
    </xf>
    <xf numFmtId="0" fontId="16" fillId="2" borderId="0" xfId="5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6" fillId="2" borderId="0" xfId="5" applyFill="1" applyProtection="1">
      <protection hidden="1"/>
    </xf>
    <xf numFmtId="0" fontId="17" fillId="2" borderId="0" xfId="6" applyFill="1" applyProtection="1">
      <protection hidden="1"/>
    </xf>
    <xf numFmtId="0" fontId="0" fillId="2" borderId="0" xfId="0" applyFill="1" applyProtection="1">
      <protection hidden="1"/>
    </xf>
    <xf numFmtId="0" fontId="18" fillId="2" borderId="0" xfId="7" applyFill="1" applyProtection="1">
      <protection hidden="1"/>
    </xf>
    <xf numFmtId="0" fontId="19" fillId="2" borderId="0" xfId="5" applyFont="1" applyFill="1" applyAlignment="1" applyProtection="1">
      <alignment horizontal="left" indent="4"/>
      <protection hidden="1"/>
    </xf>
    <xf numFmtId="0" fontId="20" fillId="2" borderId="0" xfId="7" applyFont="1" applyFill="1" applyProtection="1">
      <protection hidden="1"/>
    </xf>
    <xf numFmtId="0" fontId="21" fillId="2" borderId="0" xfId="5" applyFont="1" applyFill="1" applyProtection="1">
      <protection hidden="1"/>
    </xf>
    <xf numFmtId="0" fontId="24" fillId="2" borderId="0" xfId="5" applyFont="1" applyFill="1" applyProtection="1">
      <protection hidden="1"/>
    </xf>
    <xf numFmtId="0" fontId="25" fillId="2" borderId="0" xfId="5" applyFont="1" applyFill="1" applyProtection="1">
      <protection hidden="1"/>
    </xf>
    <xf numFmtId="0" fontId="26" fillId="2" borderId="0" xfId="0" applyFont="1" applyFill="1"/>
    <xf numFmtId="0" fontId="27" fillId="2" borderId="0" xfId="0" applyFont="1" applyFill="1"/>
    <xf numFmtId="0" fontId="28" fillId="2" borderId="0" xfId="0" applyFont="1" applyFill="1"/>
    <xf numFmtId="0" fontId="30" fillId="2" borderId="0" xfId="0" applyFont="1" applyFill="1"/>
    <xf numFmtId="0" fontId="23" fillId="2" borderId="0" xfId="8" applyFont="1" applyFill="1" applyBorder="1" applyProtection="1">
      <protection locked="0"/>
    </xf>
    <xf numFmtId="0" fontId="7" fillId="16" borderId="1" xfId="0" applyFont="1" applyFill="1" applyBorder="1" applyAlignment="1">
      <alignment horizontal="left" vertical="center"/>
    </xf>
    <xf numFmtId="165" fontId="7" fillId="16" borderId="1" xfId="0" applyNumberFormat="1" applyFont="1" applyFill="1" applyBorder="1" applyAlignment="1">
      <alignment vertical="center"/>
    </xf>
    <xf numFmtId="0" fontId="29" fillId="0" borderId="0" xfId="3" applyFont="1" applyFill="1"/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4" fillId="14" borderId="0" xfId="0" applyFont="1" applyFill="1" applyAlignment="1">
      <alignment horizontal="left" vertical="center"/>
    </xf>
    <xf numFmtId="14" fontId="4" fillId="14" borderId="0" xfId="0" applyNumberFormat="1" applyFont="1" applyFill="1" applyAlignment="1">
      <alignment horizontal="center" vertical="center"/>
    </xf>
    <xf numFmtId="0" fontId="31" fillId="2" borderId="0" xfId="0" applyFont="1" applyFill="1"/>
    <xf numFmtId="14" fontId="9" fillId="4" borderId="1" xfId="0" applyNumberFormat="1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164" fontId="9" fillId="4" borderId="1" xfId="0" applyNumberFormat="1" applyFont="1" applyFill="1" applyBorder="1" applyAlignment="1" applyProtection="1">
      <alignment horizontal="right"/>
      <protection locked="0"/>
    </xf>
    <xf numFmtId="164" fontId="5" fillId="4" borderId="1" xfId="0" applyNumberFormat="1" applyFont="1" applyFill="1" applyBorder="1" applyAlignment="1" applyProtection="1">
      <alignment horizontal="right"/>
      <protection locked="0"/>
    </xf>
  </cellXfs>
  <cellStyles count="9">
    <cellStyle name="Jaune" xfId="8"/>
    <cellStyle name="Lien hypertexte" xfId="3" builtinId="8"/>
    <cellStyle name="Monétaire" xfId="1" builtinId="4"/>
    <cellStyle name="Normal" xfId="0" builtinId="0"/>
    <cellStyle name="Normal 3" xfId="5"/>
    <cellStyle name="Pourcentage" xfId="2" builtinId="5"/>
    <cellStyle name="Texte Aide" xfId="7"/>
    <cellStyle name="Texte gras Aide" xfId="6"/>
    <cellStyle name="Titre Aide" xfId="4"/>
  </cellStyles>
  <dxfs count="7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outline="0">
        <left style="hair">
          <color indexed="64"/>
        </left>
        <right style="hair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Tendances</a:t>
            </a:r>
            <a:r>
              <a:rPr lang="fr-FR" baseline="0"/>
              <a:t> 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'!$C$7</c:f>
              <c:strCache>
                <c:ptCount val="1"/>
                <c:pt idx="0">
                  <c:v>Chiffres d'affaires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 '!$D$6:$O$6</c:f>
              <c:strCache>
                <c:ptCount val="12"/>
                <c:pt idx="0">
                  <c:v>Janvier</c:v>
                </c:pt>
                <c:pt idx="1">
                  <c:v>Février 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 </c:v>
                </c:pt>
              </c:strCache>
            </c:strRef>
          </c:cat>
          <c:val>
            <c:numRef>
              <c:f>'Tableau de bord '!$D$7:$O$7</c:f>
              <c:numCache>
                <c:formatCode>#\ ##0.0\ "€"</c:formatCode>
                <c:ptCount val="12"/>
                <c:pt idx="0">
                  <c:v>2700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0-452C-BD89-EF0B4B40F7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41807672"/>
        <c:axId val="341804536"/>
      </c:barChart>
      <c:lineChart>
        <c:grouping val="standard"/>
        <c:varyColors val="0"/>
        <c:ser>
          <c:idx val="1"/>
          <c:order val="1"/>
          <c:tx>
            <c:strRef>
              <c:f>'Tableau de bord '!$C$13</c:f>
              <c:strCache>
                <c:ptCount val="1"/>
                <c:pt idx="0">
                  <c:v>Marge nette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 '!$D$6:$O$6</c:f>
              <c:strCache>
                <c:ptCount val="12"/>
                <c:pt idx="0">
                  <c:v>Janvier</c:v>
                </c:pt>
                <c:pt idx="1">
                  <c:v>Février 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 </c:v>
                </c:pt>
              </c:strCache>
            </c:strRef>
          </c:cat>
          <c:val>
            <c:numRef>
              <c:f>'Tableau de bord '!$D$13:$O$13</c:f>
              <c:numCache>
                <c:formatCode>#\ ##0.0\ "€"</c:formatCode>
                <c:ptCount val="12"/>
                <c:pt idx="0">
                  <c:v>-30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B0-452C-BD89-EF0B4B40F760}"/>
            </c:ext>
          </c:extLst>
        </c:ser>
        <c:ser>
          <c:idx val="2"/>
          <c:order val="2"/>
          <c:tx>
            <c:strRef>
              <c:f>'Tableau de bord '!$C$12</c:f>
              <c:strCache>
                <c:ptCount val="1"/>
                <c:pt idx="0">
                  <c:v>Cout de revient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 '!$D$6:$O$6</c:f>
              <c:strCache>
                <c:ptCount val="12"/>
                <c:pt idx="0">
                  <c:v>Janvier</c:v>
                </c:pt>
                <c:pt idx="1">
                  <c:v>Février 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 </c:v>
                </c:pt>
              </c:strCache>
            </c:strRef>
          </c:cat>
          <c:val>
            <c:numRef>
              <c:f>'Tableau de bord '!$D$12:$O$12</c:f>
              <c:numCache>
                <c:formatCode>#\ ##0.0\ "€"</c:formatCode>
                <c:ptCount val="12"/>
                <c:pt idx="0">
                  <c:v>2730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FB0-452C-BD89-EF0B4B40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807672"/>
        <c:axId val="341804536"/>
      </c:lineChart>
      <c:catAx>
        <c:axId val="34180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804536"/>
        <c:crosses val="autoZero"/>
        <c:auto val="1"/>
        <c:lblAlgn val="ctr"/>
        <c:lblOffset val="100"/>
        <c:noMultiLvlLbl val="0"/>
      </c:catAx>
      <c:valAx>
        <c:axId val="34180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80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creerentreprise.fr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Page d''acceuil'!A1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creerentreprise.fr/" TargetMode="Externa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Tableau de bord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2533649</xdr:colOff>
      <xdr:row>2</xdr:row>
      <xdr:rowOff>66675</xdr:rowOff>
    </xdr:from>
    <xdr:to>
      <xdr:col>2</xdr:col>
      <xdr:colOff>11906</xdr:colOff>
      <xdr:row>4</xdr:row>
      <xdr:rowOff>104774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AF25F3E-B450-4E6B-BFB6-8A2F32163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799" y="809625"/>
          <a:ext cx="1373982" cy="4190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9526</xdr:rowOff>
    </xdr:from>
    <xdr:to>
      <xdr:col>0</xdr:col>
      <xdr:colOff>6429375</xdr:colOff>
      <xdr:row>17</xdr:row>
      <xdr:rowOff>23010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1E22C65B-97C4-4EF7-BD0A-670270090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61951"/>
          <a:ext cx="6419850" cy="42521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107156</xdr:rowOff>
    </xdr:from>
    <xdr:to>
      <xdr:col>0</xdr:col>
      <xdr:colOff>1000124</xdr:colOff>
      <xdr:row>0</xdr:row>
      <xdr:rowOff>881062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35D13A6-52C4-4001-89EF-30DB0A668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8" y="107156"/>
          <a:ext cx="773906" cy="7739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107157</xdr:rowOff>
    </xdr:from>
    <xdr:to>
      <xdr:col>0</xdr:col>
      <xdr:colOff>1035843</xdr:colOff>
      <xdr:row>0</xdr:row>
      <xdr:rowOff>881063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6CDDF70-7BE3-499D-A0D2-6F9169B5B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07157"/>
          <a:ext cx="773906" cy="7739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83343</xdr:rowOff>
    </xdr:from>
    <xdr:to>
      <xdr:col>0</xdr:col>
      <xdr:colOff>1000125</xdr:colOff>
      <xdr:row>0</xdr:row>
      <xdr:rowOff>857249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D40F9F5-7B2E-49ED-8FD3-1D0C9EA7F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9" y="83343"/>
          <a:ext cx="773906" cy="77390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83344</xdr:rowOff>
    </xdr:from>
    <xdr:to>
      <xdr:col>0</xdr:col>
      <xdr:colOff>964406</xdr:colOff>
      <xdr:row>0</xdr:row>
      <xdr:rowOff>857250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C9EC7EA-898E-440F-9002-3EBDE1B4A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3344"/>
          <a:ext cx="773906" cy="77390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71438</xdr:rowOff>
    </xdr:from>
    <xdr:to>
      <xdr:col>0</xdr:col>
      <xdr:colOff>1059656</xdr:colOff>
      <xdr:row>0</xdr:row>
      <xdr:rowOff>845344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510762A-5780-45CC-AAC9-F9146AD12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71438"/>
          <a:ext cx="773906" cy="77390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273843</xdr:colOff>
      <xdr:row>0</xdr:row>
      <xdr:rowOff>107157</xdr:rowOff>
    </xdr:from>
    <xdr:to>
      <xdr:col>0</xdr:col>
      <xdr:colOff>1047749</xdr:colOff>
      <xdr:row>0</xdr:row>
      <xdr:rowOff>881063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C2175BC-5398-4FD7-B254-7E9714138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3" y="107157"/>
          <a:ext cx="773906" cy="77390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95250</xdr:rowOff>
    </xdr:from>
    <xdr:to>
      <xdr:col>0</xdr:col>
      <xdr:colOff>1035844</xdr:colOff>
      <xdr:row>0</xdr:row>
      <xdr:rowOff>869156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E0CD187-E13A-4737-999D-7981207E6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50"/>
          <a:ext cx="773906" cy="773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2</xdr:row>
      <xdr:rowOff>19050</xdr:rowOff>
    </xdr:from>
    <xdr:to>
      <xdr:col>12</xdr:col>
      <xdr:colOff>723900</xdr:colOff>
      <xdr:row>9</xdr:row>
      <xdr:rowOff>152400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5206E71B-8EE1-46AA-B16C-3D5A6D2E2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657225"/>
          <a:ext cx="4762500" cy="1476375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257176</xdr:colOff>
      <xdr:row>2</xdr:row>
      <xdr:rowOff>28575</xdr:rowOff>
    </xdr:from>
    <xdr:to>
      <xdr:col>15</xdr:col>
      <xdr:colOff>104776</xdr:colOff>
      <xdr:row>9</xdr:row>
      <xdr:rowOff>57150</xdr:rowOff>
    </xdr:to>
    <xdr:pic>
      <xdr:nvPicPr>
        <xdr:cNvPr id="5" name="Imag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4AB72EF-7F32-495F-A381-F25967741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1" y="666750"/>
          <a:ext cx="1371600" cy="1371600"/>
        </a:xfrm>
        <a:prstGeom prst="rect">
          <a:avLst/>
        </a:prstGeom>
      </xdr:spPr>
    </xdr:pic>
    <xdr:clientData/>
  </xdr:twoCellAnchor>
  <xdr:twoCellAnchor>
    <xdr:from>
      <xdr:col>2</xdr:col>
      <xdr:colOff>638175</xdr:colOff>
      <xdr:row>18</xdr:row>
      <xdr:rowOff>0</xdr:rowOff>
    </xdr:from>
    <xdr:to>
      <xdr:col>3</xdr:col>
      <xdr:colOff>161925</xdr:colOff>
      <xdr:row>19</xdr:row>
      <xdr:rowOff>95250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95BE80FE-8927-447B-BB6E-31D652215ACF}"/>
            </a:ext>
          </a:extLst>
        </xdr:cNvPr>
        <xdr:cNvCxnSpPr/>
      </xdr:nvCxnSpPr>
      <xdr:spPr>
        <a:xfrm>
          <a:off x="2162175" y="3514725"/>
          <a:ext cx="285750" cy="285750"/>
        </a:xfrm>
        <a:prstGeom prst="straightConnector1">
          <a:avLst/>
        </a:prstGeom>
        <a:ln w="76200">
          <a:solidFill>
            <a:srgbClr val="00B0F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20</xdr:row>
      <xdr:rowOff>0</xdr:rowOff>
    </xdr:from>
    <xdr:to>
      <xdr:col>19</xdr:col>
      <xdr:colOff>76200</xdr:colOff>
      <xdr:row>29</xdr:row>
      <xdr:rowOff>161925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4C300650-5432-451B-B72D-B24B2117D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5825"/>
          <a:ext cx="14563725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3</xdr:col>
      <xdr:colOff>741682</xdr:colOff>
      <xdr:row>5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CB75190E-7B4D-4FBE-80BD-698E0777C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3018157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14</xdr:row>
      <xdr:rowOff>166686</xdr:rowOff>
    </xdr:from>
    <xdr:to>
      <xdr:col>15</xdr:col>
      <xdr:colOff>1028699</xdr:colOff>
      <xdr:row>39</xdr:row>
      <xdr:rowOff>57149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47BB3C6E-4885-4E3F-BB22-2A6FF566A2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742950</xdr:colOff>
      <xdr:row>0</xdr:row>
      <xdr:rowOff>180975</xdr:rowOff>
    </xdr:from>
    <xdr:to>
      <xdr:col>8</xdr:col>
      <xdr:colOff>704850</xdr:colOff>
      <xdr:row>3</xdr:row>
      <xdr:rowOff>86964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2FC655C7-DC44-47E1-BCC8-599EECF1C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180975"/>
          <a:ext cx="1885950" cy="5846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95250</xdr:rowOff>
    </xdr:from>
    <xdr:to>
      <xdr:col>0</xdr:col>
      <xdr:colOff>1000124</xdr:colOff>
      <xdr:row>0</xdr:row>
      <xdr:rowOff>869156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1B1E408-A610-48B3-AC18-289217EBE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8" y="95250"/>
          <a:ext cx="773906" cy="7739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119062</xdr:rowOff>
    </xdr:from>
    <xdr:to>
      <xdr:col>0</xdr:col>
      <xdr:colOff>1012031</xdr:colOff>
      <xdr:row>0</xdr:row>
      <xdr:rowOff>892968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C2F7B32-C342-4824-98D2-21D7BFF10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19062"/>
          <a:ext cx="773906" cy="7739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0</xdr:row>
      <xdr:rowOff>107157</xdr:rowOff>
    </xdr:from>
    <xdr:to>
      <xdr:col>0</xdr:col>
      <xdr:colOff>1023938</xdr:colOff>
      <xdr:row>0</xdr:row>
      <xdr:rowOff>881063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EB26892-783C-4FE3-8DEB-9966623E3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2" y="107157"/>
          <a:ext cx="773906" cy="7739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95250</xdr:rowOff>
    </xdr:from>
    <xdr:to>
      <xdr:col>0</xdr:col>
      <xdr:colOff>1071562</xdr:colOff>
      <xdr:row>0</xdr:row>
      <xdr:rowOff>869156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CA7CFE8-47FC-4C4F-B69F-92BCB2E2F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" y="95250"/>
          <a:ext cx="773906" cy="77390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83344</xdr:rowOff>
    </xdr:from>
    <xdr:to>
      <xdr:col>0</xdr:col>
      <xdr:colOff>1035843</xdr:colOff>
      <xdr:row>0</xdr:row>
      <xdr:rowOff>857250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984C5EF-DE9A-49AA-964F-4843B7160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83344"/>
          <a:ext cx="773906" cy="7739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2:J40" totalsRowCount="1" headerRowDxfId="756" dataDxfId="755" totalsRowDxfId="754">
  <autoFilter ref="A2:J39"/>
  <tableColumns count="10">
    <tableColumn id="1" name="Date  " dataDxfId="437" totalsRowDxfId="209"/>
    <tableColumn id="3" name="Libellé de la prestation de services" totalsRowFunction="count" dataDxfId="436" totalsRowDxfId="208"/>
    <tableColumn id="4" name="Montant HT" totalsRowFunction="sum" dataDxfId="435" totalsRowDxfId="207" dataCellStyle="Monétaire"/>
    <tableColumn id="10" name="Matières premières" totalsRowFunction="sum" dataDxfId="434" totalsRowDxfId="206" dataCellStyle="Monétaire"/>
    <tableColumn id="9" name="Marchandises" totalsRowFunction="sum" dataDxfId="433" totalsRowDxfId="205" dataCellStyle="Monétaire"/>
    <tableColumn id="8" name="Consommables" totalsRowFunction="sum" dataDxfId="432" totalsRowDxfId="204" dataCellStyle="Monétaire"/>
    <tableColumn id="11" name="Frais de livraison liés aux achats" totalsRowFunction="sum" dataDxfId="431" totalsRowDxfId="203" dataCellStyle="Monétaire"/>
    <tableColumn id="7" name="Couts d'achat et d'approvisionnement" totalsRowFunction="sum" dataDxfId="353" totalsRowDxfId="202" dataCellStyle="Monétaire">
      <calculatedColumnFormula>IF(Tableau1[[#This Row],[Libellé de la prestation de services]]="","",SUM(Tableau1[[#This Row],[Matières premières]:[Frais de livraison liés aux achats]]))</calculatedColumnFormula>
    </tableColumn>
    <tableColumn id="12" name="Mains d’œuvre avec charges sociales et patronales," totalsRowFunction="sum" dataDxfId="352" totalsRowDxfId="201" dataCellStyle="Monétaire"/>
    <tableColumn id="13" name="Charges locatives" totalsRowFunction="sum" dataDxfId="351" totalsRowDxfId="200" dataCellStyle="Monétaire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au1345565711" displayName="Tableau1345565711" ref="V2:X40" totalsRowCount="1" headerRowDxfId="706" dataDxfId="705" totalsRowDxfId="704">
  <autoFilter ref="V2:X39"/>
  <tableColumns count="3">
    <tableColumn id="3" name="Marge nette sur prestation " totalsRowFunction="sum" dataDxfId="703" totalsRowDxfId="702" dataCellStyle="Monétaire">
      <calculatedColumnFormula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calculatedColumnFormula>
    </tableColumn>
    <tableColumn id="7" name="Taux de marge" dataDxfId="701" totalsRowDxfId="700" dataCellStyle="Pourcentage">
      <calculatedColumnFormula>IF(Tableau17[[#This Row],[Montant HT]]="","",Tableau1345565711[[#This Row],[Marge nette sur prestation ]]/Tableau13455610[[#This Row],[Coût de revient unitaire]])</calculatedColumnFormula>
    </tableColumn>
    <tableColumn id="8" name="Taux de marque " dataDxfId="699" totalsRowDxfId="698" dataCellStyle="Pourcentage">
      <calculatedColumnFormula>IF(Tableau17[[#This Row],[Montant HT]]="","",Tableau1345565711[[#This Row],[Marge nette sur prestation ]]/Tableau17[[#This Row],[Montant HT]])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au1712" displayName="Tableau1712" ref="A2:J40" totalsRowCount="1" headerRowDxfId="697" dataDxfId="696" totalsRowDxfId="695">
  <autoFilter ref="A2:J39"/>
  <tableColumns count="10">
    <tableColumn id="1" name="Date  " dataDxfId="367" totalsRowDxfId="189"/>
    <tableColumn id="3" name="Libellé de la prestation de services" totalsRowFunction="count" dataDxfId="366" totalsRowDxfId="188"/>
    <tableColumn id="4" name="Montant HT" totalsRowFunction="sum" dataDxfId="365" totalsRowDxfId="187" dataCellStyle="Monétaire"/>
    <tableColumn id="10" name="Matières premières" totalsRowFunction="sum" dataDxfId="364" totalsRowDxfId="186" dataCellStyle="Monétaire"/>
    <tableColumn id="9" name="Marchandises" totalsRowFunction="sum" dataDxfId="363" totalsRowDxfId="185" dataCellStyle="Monétaire"/>
    <tableColumn id="8" name="Consommables" totalsRowFunction="sum" dataDxfId="362" totalsRowDxfId="184" dataCellStyle="Monétaire"/>
    <tableColumn id="11" name="Frais de livraison liés aux achats" totalsRowFunction="sum" dataDxfId="361" totalsRowDxfId="183" dataCellStyle="Monétaire"/>
    <tableColumn id="7" name="Couts d'achat et d'approvisionnement" totalsRowFunction="sum" dataDxfId="323" totalsRowDxfId="182" dataCellStyle="Monétaire">
      <calculatedColumnFormula>IF(Tableau1712[[#This Row],[Libellé de la prestation de services]]="","",SUM(Tableau1712[[#This Row],[Matières premières]:[Frais de livraison liés aux achats]]))</calculatedColumnFormula>
    </tableColumn>
    <tableColumn id="12" name="Mains d’œuvre avec charges sociales et patronales," totalsRowFunction="sum" dataDxfId="322" totalsRowDxfId="181" dataCellStyle="Monétaire"/>
    <tableColumn id="13" name="Charges locatives" totalsRowFunction="sum" dataDxfId="321" totalsRowDxfId="180" dataCellStyle="Monétaire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au1354813" displayName="Tableau1354813" ref="K2:O40" totalsRowCount="1" headerRowDxfId="694" dataDxfId="693" totalsRowDxfId="692" totalsRowCellStyle="Monétaire">
  <autoFilter ref="K2:O39"/>
  <tableColumns count="5">
    <tableColumn id="3" name="Coûts de production" totalsRowFunction="sum" dataDxfId="267" totalsRowDxfId="179" dataCellStyle="Monétaire">
      <calculatedColumnFormula>IF(Tableau1712[[#This Row],[Libellé de la prestation de services]]="","",SUM(Tableau1712[[#This Row],[Mains d’œuvre avec charges sociales et patronales,]:[Charges locatives]]))</calculatedColumnFormula>
    </tableColumn>
    <tableColumn id="7" name="Marketing" totalsRowFunction="sum" dataDxfId="266" totalsRowDxfId="178" dataCellStyle="Monétaire"/>
    <tableColumn id="8" name="Prospection" totalsRowFunction="sum" dataDxfId="265" totalsRowDxfId="177" dataCellStyle="Monétaire"/>
    <tableColumn id="9" name="Commerciaux" totalsRowFunction="sum" dataDxfId="264" totalsRowDxfId="176" dataCellStyle="Monétaire"/>
    <tableColumn id="10" name="Livraison" totalsRowFunction="sum" dataDxfId="263" totalsRowDxfId="175" dataCellStyle="Monétaire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au13455914" displayName="Tableau13455914" ref="P2:S40" totalsRowCount="1" headerRowDxfId="691" dataDxfId="690" totalsRowDxfId="689" totalsRowCellStyle="Monétaire">
  <autoFilter ref="P2:S39"/>
  <tableColumns count="4">
    <tableColumn id="3" name="Coûts de commercialisation et distribution" totalsRowFunction="sum" dataDxfId="217" totalsRowDxfId="174" dataCellStyle="Monétaire">
      <calculatedColumnFormula>IF(Tableau1712[[#This Row],[Libellé de la prestation de services]]="","",SUM(Tableau1354813[[#This Row],[Marketing]:[Livraison]]))</calculatedColumnFormula>
    </tableColumn>
    <tableColumn id="8" name="services généraux" totalsRowFunction="sum" dataDxfId="216" totalsRowDxfId="173" dataCellStyle="Monétaire"/>
    <tableColumn id="9" name="frais divers" totalsRowFunction="sum" dataDxfId="215" totalsRowDxfId="172" dataCellStyle="Monétaire"/>
    <tableColumn id="10" name="impôts" totalsRowFunction="sum" dataDxfId="214" totalsRowDxfId="171" dataCellStyle="Monétaire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au1345561015" displayName="Tableau1345561015" ref="T2:U40" totalsRowCount="1" headerRowDxfId="688" dataDxfId="687" totalsRowDxfId="686" totalsRowCellStyle="Monétaire">
  <autoFilter ref="T2:U39"/>
  <tableColumns count="2">
    <tableColumn id="3" name="Coûts administratifs" totalsRowFunction="sum" dataDxfId="685" totalsRowDxfId="684" dataCellStyle="Monétaire">
      <calculatedColumnFormula>IF(Tableau1712[[#This Row],[Libellé de la prestation de services]]="","",SUM(Tableau13455914[[#This Row],[services généraux]:[impôts]]))</calculatedColumnFormula>
    </tableColumn>
    <tableColumn id="7" name="Coût de revient unitaire" totalsRowFunction="sum" dataDxfId="683" totalsRowDxfId="682" dataCellStyle="Monétaire">
      <calculatedColumnFormula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au134556571116" displayName="Tableau134556571116" ref="V2:X40" totalsRowCount="1" headerRowDxfId="681" dataDxfId="680" totalsRowDxfId="679">
  <autoFilter ref="V2:X39"/>
  <tableColumns count="3">
    <tableColumn id="3" name="Marge nette sur prestation " totalsRowFunction="sum" dataDxfId="678" totalsRowDxfId="677" dataCellStyle="Monétaire">
      <calculatedColumnFormula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calculatedColumnFormula>
    </tableColumn>
    <tableColumn id="7" name="Taux de marge" dataDxfId="676" totalsRowDxfId="675" dataCellStyle="Pourcentage">
      <calculatedColumnFormula>IF(Tableau1712[[#This Row],[Montant HT]]="","",Tableau134556571116[[#This Row],[Marge nette sur prestation ]]/Tableau1345561015[[#This Row],[Coût de revient unitaire]])</calculatedColumnFormula>
    </tableColumn>
    <tableColumn id="8" name="Taux de marque " dataDxfId="674" totalsRowDxfId="673" dataCellStyle="Pourcentage">
      <calculatedColumnFormula>IF(Tableau1712[[#This Row],[Montant HT]]="","",Tableau134556571116[[#This Row],[Marge nette sur prestation ]]/Tableau1712[[#This Row],[Montant HT]])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au1717" displayName="Tableau1717" ref="A2:J40" totalsRowCount="1" headerRowDxfId="672" dataDxfId="671" totalsRowDxfId="670">
  <autoFilter ref="A2:J39"/>
  <tableColumns count="10">
    <tableColumn id="1" name="Date  " dataDxfId="374" totalsRowDxfId="18"/>
    <tableColumn id="3" name="Libellé de la prestation de services" totalsRowFunction="count" dataDxfId="373" totalsRowDxfId="17"/>
    <tableColumn id="4" name="Montant HT" totalsRowFunction="sum" dataDxfId="372" totalsRowDxfId="16" dataCellStyle="Monétaire"/>
    <tableColumn id="10" name="Matières premières" totalsRowFunction="sum" dataDxfId="371" totalsRowDxfId="15" dataCellStyle="Monétaire"/>
    <tableColumn id="9" name="Marchandises" totalsRowFunction="sum" dataDxfId="370" totalsRowDxfId="14" dataCellStyle="Monétaire"/>
    <tableColumn id="8" name="Consommables" totalsRowFunction="sum" dataDxfId="369" totalsRowDxfId="13" dataCellStyle="Monétaire"/>
    <tableColumn id="11" name="Frais de livraison liés aux achats" totalsRowFunction="sum" dataDxfId="368" totalsRowDxfId="12" dataCellStyle="Monétaire"/>
    <tableColumn id="7" name="Couts d'achat et d'approvisionnement" totalsRowFunction="sum" dataDxfId="326" totalsRowDxfId="11" dataCellStyle="Monétaire">
      <calculatedColumnFormula>IF(Tableau1717[[#This Row],[Libellé de la prestation de services]]="","",SUM(Tableau1717[[#This Row],[Matières premières]:[Frais de livraison liés aux achats]]))</calculatedColumnFormula>
    </tableColumn>
    <tableColumn id="12" name="Mains d’œuvre avec charges sociales et patronales," totalsRowFunction="sum" dataDxfId="325" totalsRowDxfId="10" dataCellStyle="Monétaire"/>
    <tableColumn id="13" name="Charges locatives" totalsRowFunction="sum" dataDxfId="324" totalsRowDxfId="9" dataCellStyle="Monétaire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au1354818" displayName="Tableau1354818" ref="K2:O40" totalsRowCount="1" headerRowDxfId="669" dataDxfId="668" totalsRowDxfId="667" totalsRowCellStyle="Monétaire">
  <autoFilter ref="K2:O39"/>
  <tableColumns count="5">
    <tableColumn id="3" name="Coûts de production" totalsRowFunction="sum" dataDxfId="272" totalsRowDxfId="8" dataCellStyle="Monétaire">
      <calculatedColumnFormula>IF(Tableau1717[[#This Row],[Libellé de la prestation de services]]="","",SUM(Tableau1717[[#This Row],[Mains d’œuvre avec charges sociales et patronales,]:[Charges locatives]]))</calculatedColumnFormula>
    </tableColumn>
    <tableColumn id="7" name="Marketing" totalsRowFunction="sum" dataDxfId="271" totalsRowDxfId="7" dataCellStyle="Monétaire"/>
    <tableColumn id="8" name="Prospection" totalsRowFunction="sum" dataDxfId="270" totalsRowDxfId="6" dataCellStyle="Monétaire"/>
    <tableColumn id="9" name="Commerciaux" totalsRowFunction="sum" dataDxfId="269" totalsRowDxfId="5" dataCellStyle="Monétaire"/>
    <tableColumn id="10" name="Livraison" totalsRowFunction="sum" dataDxfId="268" totalsRowDxfId="4" dataCellStyle="Monétaire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au13455919" displayName="Tableau13455919" ref="P2:S40" totalsRowCount="1" headerRowDxfId="666" dataDxfId="665" totalsRowDxfId="664" totalsRowCellStyle="Monétaire">
  <autoFilter ref="P2:S39"/>
  <tableColumns count="4">
    <tableColumn id="3" name="Coûts de commercialisation et distribution" totalsRowFunction="sum" dataDxfId="221" totalsRowDxfId="3" dataCellStyle="Monétaire">
      <calculatedColumnFormula>IF(Tableau1717[[#This Row],[Libellé de la prestation de services]]="","",SUM(Tableau1354818[[#This Row],[Marketing]:[Livraison]]))</calculatedColumnFormula>
    </tableColumn>
    <tableColumn id="8" name="services généraux" totalsRowFunction="sum" dataDxfId="220" totalsRowDxfId="2" dataCellStyle="Monétaire"/>
    <tableColumn id="9" name="frais divers" totalsRowFunction="sum" dataDxfId="219" totalsRowDxfId="1" dataCellStyle="Monétaire"/>
    <tableColumn id="10" name="impôts" totalsRowFunction="sum" dataDxfId="218" totalsRowDxfId="0" dataCellStyle="Monétaire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au1345561020" displayName="Tableau1345561020" ref="T2:U40" totalsRowCount="1" headerRowDxfId="663" dataDxfId="662" totalsRowDxfId="661" totalsRowCellStyle="Monétaire">
  <autoFilter ref="T2:U39"/>
  <tableColumns count="2">
    <tableColumn id="3" name="Coûts administratifs" totalsRowFunction="sum" dataDxfId="660" totalsRowDxfId="659" dataCellStyle="Monétaire">
      <calculatedColumnFormula>IF(Tableau1717[[#This Row],[Libellé de la prestation de services]]="","",SUM(Tableau13455919[[#This Row],[services généraux]:[impôts]]))</calculatedColumnFormula>
    </tableColumn>
    <tableColumn id="7" name="Coût de revient unitaire" totalsRowFunction="sum" dataDxfId="658" totalsRowDxfId="657" dataCellStyle="Monétaire">
      <calculatedColumnFormula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au1354" displayName="Tableau1354" ref="K2:O40" totalsRowCount="1" headerRowDxfId="753" dataDxfId="752" totalsRowDxfId="751" totalsRowCellStyle="Monétaire">
  <autoFilter ref="K2:O39"/>
  <tableColumns count="5">
    <tableColumn id="3" name="Coûts de production" totalsRowFunction="sum" dataDxfId="317" totalsRowDxfId="750" dataCellStyle="Monétaire">
      <calculatedColumnFormula>IF(Tableau1[[#This Row],[Libellé de la prestation de services]]="","",SUM(Tableau1[[#This Row],[Mains d’œuvre avec charges sociales et patronales,]:[Charges locatives]]))</calculatedColumnFormula>
    </tableColumn>
    <tableColumn id="7" name="Marketing" totalsRowFunction="sum" dataDxfId="316" totalsRowDxfId="749" dataCellStyle="Monétaire"/>
    <tableColumn id="8" name="Prospection" totalsRowFunction="sum" dataDxfId="315" totalsRowDxfId="748" dataCellStyle="Monétaire"/>
    <tableColumn id="9" name="Commerciaux" totalsRowFunction="sum" dataDxfId="314" totalsRowDxfId="747" dataCellStyle="Monétaire"/>
    <tableColumn id="10" name="Livraison" totalsRowFunction="sum" dataDxfId="313" totalsRowDxfId="746" dataCellStyle="Monétaire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au134556571121" displayName="Tableau134556571121" ref="V2:X40" totalsRowCount="1" headerRowDxfId="656" dataDxfId="655" totalsRowDxfId="654">
  <autoFilter ref="V2:X39"/>
  <tableColumns count="3">
    <tableColumn id="3" name="Marge nette sur prestation " totalsRowFunction="sum" dataDxfId="653" totalsRowDxfId="652" dataCellStyle="Monétaire">
      <calculatedColumnFormula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calculatedColumnFormula>
    </tableColumn>
    <tableColumn id="7" name="Taux de marge" dataDxfId="651" totalsRowDxfId="650" dataCellStyle="Pourcentage">
      <calculatedColumnFormula>IF(Tableau1717[[#This Row],[Montant HT]]="","",Tableau134556571121[[#This Row],[Marge nette sur prestation ]]/Tableau1345561020[[#This Row],[Coût de revient unitaire]])</calculatedColumnFormula>
    </tableColumn>
    <tableColumn id="8" name="Taux de marque " dataDxfId="649" totalsRowDxfId="648" dataCellStyle="Pourcentage">
      <calculatedColumnFormula>IF(Tableau1717[[#This Row],[Montant HT]]="","",Tableau134556571121[[#This Row],[Marge nette sur prestation ]]/Tableau1717[[#This Row],[Montant HT]])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au1722" displayName="Tableau1722" ref="A2:J40" totalsRowCount="1" headerRowDxfId="647" dataDxfId="646" totalsRowDxfId="645">
  <autoFilter ref="A2:J39"/>
  <tableColumns count="10">
    <tableColumn id="1" name="Date  " dataDxfId="381" totalsRowDxfId="37"/>
    <tableColumn id="3" name="Libellé de la prestation de services" totalsRowFunction="count" dataDxfId="380" totalsRowDxfId="36"/>
    <tableColumn id="4" name="Montant HT" totalsRowFunction="sum" dataDxfId="379" totalsRowDxfId="35" dataCellStyle="Monétaire"/>
    <tableColumn id="10" name="Matières premières" totalsRowFunction="sum" dataDxfId="378" totalsRowDxfId="34" dataCellStyle="Monétaire"/>
    <tableColumn id="9" name="Marchandises" totalsRowFunction="sum" dataDxfId="377" totalsRowDxfId="33" dataCellStyle="Monétaire"/>
    <tableColumn id="8" name="Consommables" totalsRowFunction="sum" dataDxfId="376" totalsRowDxfId="32" dataCellStyle="Monétaire"/>
    <tableColumn id="11" name="Frais de livraison liés aux achats" totalsRowFunction="sum" dataDxfId="375" totalsRowDxfId="31" dataCellStyle="Monétaire"/>
    <tableColumn id="7" name="Couts d'achat et d'approvisionnement" totalsRowFunction="sum" dataDxfId="329" totalsRowDxfId="30" dataCellStyle="Monétaire">
      <calculatedColumnFormula>IF(Tableau1722[[#This Row],[Libellé de la prestation de services]]="","",SUM(Tableau1722[[#This Row],[Matières premières]:[Frais de livraison liés aux achats]]))</calculatedColumnFormula>
    </tableColumn>
    <tableColumn id="12" name="Mains d’œuvre avec charges sociales et patronales," totalsRowFunction="sum" dataDxfId="328" totalsRowDxfId="29" dataCellStyle="Monétaire"/>
    <tableColumn id="13" name="Charges locatives" totalsRowFunction="sum" dataDxfId="327" totalsRowDxfId="28" dataCellStyle="Monétaire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au1354823" displayName="Tableau1354823" ref="K2:O40" totalsRowCount="1" headerRowDxfId="644" dataDxfId="643" totalsRowDxfId="642" totalsRowCellStyle="Monétaire">
  <autoFilter ref="K2:O39"/>
  <tableColumns count="5">
    <tableColumn id="3" name="Coûts de production" totalsRowFunction="sum" dataDxfId="277" totalsRowDxfId="27" dataCellStyle="Monétaire">
      <calculatedColumnFormula>IF(Tableau1722[[#This Row],[Libellé de la prestation de services]]="","",SUM(Tableau1722[[#This Row],[Mains d’œuvre avec charges sociales et patronales,]:[Charges locatives]]))</calculatedColumnFormula>
    </tableColumn>
    <tableColumn id="7" name="Marketing" totalsRowFunction="sum" dataDxfId="276" totalsRowDxfId="26" dataCellStyle="Monétaire"/>
    <tableColumn id="8" name="Prospection" totalsRowFunction="sum" dataDxfId="275" totalsRowDxfId="25" dataCellStyle="Monétaire"/>
    <tableColumn id="9" name="Commerciaux" totalsRowFunction="sum" dataDxfId="274" totalsRowDxfId="24" dataCellStyle="Monétaire"/>
    <tableColumn id="10" name="Livraison" totalsRowFunction="sum" dataDxfId="273" totalsRowDxfId="23" dataCellStyle="Monétaire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au13455924" displayName="Tableau13455924" ref="P2:S40" totalsRowCount="1" headerRowDxfId="641" dataDxfId="640" totalsRowDxfId="639" totalsRowCellStyle="Monétaire">
  <autoFilter ref="P2:S39"/>
  <tableColumns count="4">
    <tableColumn id="3" name="Coûts de commercialisation et distribution" totalsRowFunction="sum" dataDxfId="225" totalsRowDxfId="22" dataCellStyle="Monétaire">
      <calculatedColumnFormula>IF(Tableau1722[[#This Row],[Libellé de la prestation de services]]="","",SUM(Tableau1354823[[#This Row],[Marketing]:[Livraison]]))</calculatedColumnFormula>
    </tableColumn>
    <tableColumn id="8" name="services généraux" totalsRowFunction="sum" dataDxfId="224" totalsRowDxfId="21" dataCellStyle="Monétaire"/>
    <tableColumn id="9" name="frais divers" totalsRowFunction="sum" dataDxfId="223" totalsRowDxfId="20" dataCellStyle="Monétaire"/>
    <tableColumn id="10" name="impôts" totalsRowFunction="sum" dataDxfId="222" totalsRowDxfId="19" dataCellStyle="Monétaire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au1345561025" displayName="Tableau1345561025" ref="T2:U40" totalsRowCount="1" headerRowDxfId="638" dataDxfId="637" totalsRowDxfId="636" totalsRowCellStyle="Monétaire">
  <autoFilter ref="T2:U39"/>
  <tableColumns count="2">
    <tableColumn id="3" name="Coûts administratifs" totalsRowFunction="sum" dataDxfId="635" totalsRowDxfId="634" dataCellStyle="Monétaire">
      <calculatedColumnFormula>IF(Tableau1722[[#This Row],[Libellé de la prestation de services]]="","",SUM(Tableau13455924[[#This Row],[services généraux]:[impôts]]))</calculatedColumnFormula>
    </tableColumn>
    <tableColumn id="7" name="Coût de revient unitaire" totalsRowFunction="sum" dataDxfId="633" totalsRowDxfId="632" dataCellStyle="Monétaire">
      <calculatedColumnFormula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calculatedColumnFormula>
    </tableColumn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au134556571126" displayName="Tableau134556571126" ref="V2:X40" totalsRowCount="1" headerRowDxfId="631" dataDxfId="630" totalsRowDxfId="629">
  <autoFilter ref="V2:X39"/>
  <tableColumns count="3">
    <tableColumn id="3" name="Marge nette sur prestation " totalsRowFunction="sum" dataDxfId="628" totalsRowDxfId="627" dataCellStyle="Monétaire">
      <calculatedColumnFormula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calculatedColumnFormula>
    </tableColumn>
    <tableColumn id="7" name="Taux de marge" dataDxfId="626" totalsRowDxfId="625" dataCellStyle="Pourcentage">
      <calculatedColumnFormula>IF(Tableau1722[[#This Row],[Montant HT]]="","",Tableau134556571126[[#This Row],[Marge nette sur prestation ]]/Tableau1345561025[[#This Row],[Coût de revient unitaire]])</calculatedColumnFormula>
    </tableColumn>
    <tableColumn id="8" name="Taux de marque " dataDxfId="624" totalsRowDxfId="623" dataCellStyle="Pourcentage">
      <calculatedColumnFormula>IF(Tableau1722[[#This Row],[Montant HT]]="","",Tableau134556571126[[#This Row],[Marge nette sur prestation ]]/Tableau1722[[#This Row],[Montant HT]])</calculatedColumnFormula>
    </tableColumn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au1727" displayName="Tableau1727" ref="A2:J40" totalsRowCount="1" headerRowDxfId="622" dataDxfId="621" totalsRowDxfId="620">
  <autoFilter ref="A2:J39"/>
  <tableColumns count="10">
    <tableColumn id="1" name="Date  " dataDxfId="388" totalsRowDxfId="56"/>
    <tableColumn id="3" name="Libellé de la prestation de services" totalsRowFunction="count" dataDxfId="387" totalsRowDxfId="55"/>
    <tableColumn id="4" name="Montant HT" totalsRowFunction="sum" dataDxfId="386" totalsRowDxfId="54" dataCellStyle="Monétaire"/>
    <tableColumn id="10" name="Matières premières" totalsRowFunction="sum" dataDxfId="385" totalsRowDxfId="53" dataCellStyle="Monétaire"/>
    <tableColumn id="9" name="Marchandises" totalsRowFunction="sum" dataDxfId="384" totalsRowDxfId="52" dataCellStyle="Monétaire"/>
    <tableColumn id="8" name="Consommables" totalsRowFunction="sum" dataDxfId="383" totalsRowDxfId="51" dataCellStyle="Monétaire"/>
    <tableColumn id="11" name="Frais de livraison liés aux achats" totalsRowFunction="sum" dataDxfId="382" totalsRowDxfId="50" dataCellStyle="Monétaire"/>
    <tableColumn id="7" name="Couts d'achat et d'approvisionnement" totalsRowFunction="sum" dataDxfId="332" totalsRowDxfId="49" dataCellStyle="Monétaire">
      <calculatedColumnFormula>IF(Tableau1727[[#This Row],[Libellé de la prestation de services]]="","",SUM(Tableau1727[[#This Row],[Matières premières]:[Frais de livraison liés aux achats]]))</calculatedColumnFormula>
    </tableColumn>
    <tableColumn id="12" name="Mains d’œuvre avec charges sociales et patronales," totalsRowFunction="sum" dataDxfId="331" totalsRowDxfId="48" dataCellStyle="Monétaire"/>
    <tableColumn id="13" name="Charges locatives" totalsRowFunction="sum" dataDxfId="330" totalsRowDxfId="47" dataCellStyle="Monétaire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au1354828" displayName="Tableau1354828" ref="K2:O40" totalsRowCount="1" headerRowDxfId="619" dataDxfId="618" totalsRowDxfId="617" totalsRowCellStyle="Monétaire">
  <autoFilter ref="K2:O39"/>
  <tableColumns count="5">
    <tableColumn id="3" name="Coûts de production" totalsRowFunction="sum" dataDxfId="282" totalsRowDxfId="46" dataCellStyle="Monétaire">
      <calculatedColumnFormula>IF(Tableau1727[[#This Row],[Libellé de la prestation de services]]="","",SUM(Tableau1727[[#This Row],[Mains d’œuvre avec charges sociales et patronales,]:[Charges locatives]]))</calculatedColumnFormula>
    </tableColumn>
    <tableColumn id="7" name="Marketing" totalsRowFunction="sum" dataDxfId="281" totalsRowDxfId="45" dataCellStyle="Monétaire"/>
    <tableColumn id="8" name="Prospection" totalsRowFunction="sum" dataDxfId="280" totalsRowDxfId="44" dataCellStyle="Monétaire"/>
    <tableColumn id="9" name="Commerciaux" totalsRowFunction="sum" dataDxfId="279" totalsRowDxfId="43" dataCellStyle="Monétaire"/>
    <tableColumn id="10" name="Livraison" totalsRowFunction="sum" dataDxfId="278" totalsRowDxfId="42" dataCellStyle="Monétaire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au13455929" displayName="Tableau13455929" ref="P2:S40" totalsRowCount="1" headerRowDxfId="616" dataDxfId="615" totalsRowDxfId="614" totalsRowCellStyle="Monétaire">
  <autoFilter ref="P2:S39"/>
  <tableColumns count="4">
    <tableColumn id="3" name="Coûts de commercialisation et distribution" totalsRowFunction="sum" dataDxfId="229" totalsRowDxfId="41" dataCellStyle="Monétaire">
      <calculatedColumnFormula>IF(Tableau1727[[#This Row],[Libellé de la prestation de services]]="","",SUM(Tableau1354828[[#This Row],[Marketing]:[Livraison]]))</calculatedColumnFormula>
    </tableColumn>
    <tableColumn id="8" name="services généraux" totalsRowFunction="sum" dataDxfId="228" totalsRowDxfId="40" dataCellStyle="Monétaire"/>
    <tableColumn id="9" name="frais divers" totalsRowFunction="sum" dataDxfId="227" totalsRowDxfId="39" dataCellStyle="Monétaire"/>
    <tableColumn id="10" name="impôts" totalsRowFunction="sum" dataDxfId="226" totalsRowDxfId="38" dataCellStyle="Monétaire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au1345561030" displayName="Tableau1345561030" ref="T2:U40" totalsRowCount="1" headerRowDxfId="613" dataDxfId="612" totalsRowDxfId="611" totalsRowCellStyle="Monétaire">
  <autoFilter ref="T2:U39"/>
  <tableColumns count="2">
    <tableColumn id="3" name="Coûts administratifs" totalsRowFunction="sum" dataDxfId="610" totalsRowDxfId="609" dataCellStyle="Monétaire">
      <calculatedColumnFormula>IF(Tableau1727[[#This Row],[Libellé de la prestation de services]]="","",SUM(Tableau13455929[[#This Row],[services généraux]:[impôts]]))</calculatedColumnFormula>
    </tableColumn>
    <tableColumn id="7" name="Coût de revient unitaire" totalsRowFunction="sum" dataDxfId="608" totalsRowDxfId="607" dataCellStyle="Monétaire">
      <calculatedColumnFormula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au13455" displayName="Tableau13455" ref="P2:S40" totalsRowCount="1" headerRowDxfId="745" dataDxfId="744" totalsRowDxfId="743" totalsRowCellStyle="Monétaire">
  <autoFilter ref="P2:S39"/>
  <tableColumns count="4">
    <tableColumn id="3" name="Coûts de commercialisation et distribution" totalsRowFunction="sum" dataDxfId="257" totalsRowDxfId="742" dataCellStyle="Monétaire">
      <calculatedColumnFormula>IF(Tableau1[[#This Row],[Libellé de la prestation de services]]="","",SUM(Tableau1354[[#This Row],[Marketing]:[Livraison]]))</calculatedColumnFormula>
    </tableColumn>
    <tableColumn id="8" name="services généraux" totalsRowFunction="sum" dataDxfId="256" totalsRowDxfId="741" dataCellStyle="Monétaire"/>
    <tableColumn id="9" name="frais divers" totalsRowFunction="sum" dataDxfId="255" totalsRowDxfId="740" dataCellStyle="Monétaire"/>
    <tableColumn id="10" name="impôts" totalsRowFunction="sum" dataDxfId="254" totalsRowDxfId="739" dataCellStyle="Monétaire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au134556571131" displayName="Tableau134556571131" ref="V2:X40" totalsRowCount="1" headerRowDxfId="606" dataDxfId="605" totalsRowDxfId="604">
  <autoFilter ref="V2:X39"/>
  <tableColumns count="3">
    <tableColumn id="3" name="Marge nette sur prestation " totalsRowFunction="sum" dataDxfId="603" totalsRowDxfId="602" dataCellStyle="Monétaire">
      <calculatedColumnFormula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calculatedColumnFormula>
    </tableColumn>
    <tableColumn id="7" name="Taux de marge" dataDxfId="601" totalsRowDxfId="600" dataCellStyle="Pourcentage">
      <calculatedColumnFormula>IF(Tableau1727[[#This Row],[Montant HT]]="","",Tableau134556571131[[#This Row],[Marge nette sur prestation ]]/Tableau1345561030[[#This Row],[Coût de revient unitaire]])</calculatedColumnFormula>
    </tableColumn>
    <tableColumn id="8" name="Taux de marque " dataDxfId="599" totalsRowDxfId="598" dataCellStyle="Pourcentage">
      <calculatedColumnFormula>IF(Tableau1727[[#This Row],[Montant HT]]="","",Tableau134556571131[[#This Row],[Marge nette sur prestation ]]/Tableau1727[[#This Row],[Montant HT]])</calculatedColumnFormula>
    </tableColumn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au1732" displayName="Tableau1732" ref="A2:J40" totalsRowCount="1" headerRowDxfId="597" dataDxfId="596" totalsRowDxfId="595">
  <autoFilter ref="A2:J39"/>
  <tableColumns count="10">
    <tableColumn id="1" name="Date  " dataDxfId="395" totalsRowDxfId="75"/>
    <tableColumn id="3" name="Libellé de la prestation de services" totalsRowFunction="count" dataDxfId="394" totalsRowDxfId="74"/>
    <tableColumn id="4" name="Montant HT" totalsRowFunction="sum" dataDxfId="393" totalsRowDxfId="73" dataCellStyle="Monétaire"/>
    <tableColumn id="10" name="Matières premières" totalsRowFunction="sum" dataDxfId="392" totalsRowDxfId="72" dataCellStyle="Monétaire"/>
    <tableColumn id="9" name="Marchandises" totalsRowFunction="sum" dataDxfId="391" totalsRowDxfId="71" dataCellStyle="Monétaire"/>
    <tableColumn id="8" name="Consommables" totalsRowFunction="sum" dataDxfId="390" totalsRowDxfId="70" dataCellStyle="Monétaire"/>
    <tableColumn id="11" name="Frais de livraison liés aux achats" totalsRowFunction="sum" dataDxfId="389" totalsRowDxfId="69" dataCellStyle="Monétaire"/>
    <tableColumn id="7" name="Couts d'achat et d'approvisionnement" totalsRowFunction="sum" dataDxfId="335" totalsRowDxfId="68" dataCellStyle="Monétaire">
      <calculatedColumnFormula>IF(Tableau1732[[#This Row],[Libellé de la prestation de services]]="","",SUM(Tableau1732[[#This Row],[Matières premières]:[Frais de livraison liés aux achats]]))</calculatedColumnFormula>
    </tableColumn>
    <tableColumn id="12" name="Mains d’œuvre avec charges sociales et patronales," totalsRowFunction="sum" dataDxfId="334" totalsRowDxfId="67" dataCellStyle="Monétaire"/>
    <tableColumn id="13" name="Charges locatives" totalsRowFunction="sum" dataDxfId="333" totalsRowDxfId="66" dataCellStyle="Monétaire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au1354833" displayName="Tableau1354833" ref="K2:O40" totalsRowCount="1" headerRowDxfId="594" dataDxfId="593" totalsRowDxfId="592" totalsRowCellStyle="Monétaire">
  <autoFilter ref="K2:O39"/>
  <tableColumns count="5">
    <tableColumn id="3" name="Coûts de production" totalsRowFunction="sum" dataDxfId="287" totalsRowDxfId="65" dataCellStyle="Monétaire">
      <calculatedColumnFormula>IF(Tableau1732[[#This Row],[Libellé de la prestation de services]]="","",SUM(Tableau1732[[#This Row],[Mains d’œuvre avec charges sociales et patronales,]:[Charges locatives]]))</calculatedColumnFormula>
    </tableColumn>
    <tableColumn id="7" name="Marketing" totalsRowFunction="sum" dataDxfId="286" totalsRowDxfId="64" dataCellStyle="Monétaire"/>
    <tableColumn id="8" name="Prospection" totalsRowFunction="sum" dataDxfId="285" totalsRowDxfId="63" dataCellStyle="Monétaire"/>
    <tableColumn id="9" name="Commerciaux" totalsRowFunction="sum" dataDxfId="284" totalsRowDxfId="62" dataCellStyle="Monétaire"/>
    <tableColumn id="10" name="Livraison" totalsRowFunction="sum" dataDxfId="283" totalsRowDxfId="61" dataCellStyle="Monétaire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3" name="Tableau13455934" displayName="Tableau13455934" ref="P2:S40" totalsRowCount="1" headerRowDxfId="591" dataDxfId="590" totalsRowDxfId="589" totalsRowCellStyle="Monétaire">
  <autoFilter ref="P2:S39"/>
  <tableColumns count="4">
    <tableColumn id="3" name="Coûts de commercialisation et distribution" totalsRowFunction="sum" dataDxfId="233" totalsRowDxfId="60" dataCellStyle="Monétaire">
      <calculatedColumnFormula>IF(Tableau1732[[#This Row],[Libellé de la prestation de services]]="","",SUM(Tableau1354833[[#This Row],[Marketing]:[Livraison]]))</calculatedColumnFormula>
    </tableColumn>
    <tableColumn id="8" name="services généraux" totalsRowFunction="sum" dataDxfId="232" totalsRowDxfId="59" dataCellStyle="Monétaire"/>
    <tableColumn id="9" name="frais divers" totalsRowFunction="sum" dataDxfId="231" totalsRowDxfId="58" dataCellStyle="Monétaire"/>
    <tableColumn id="10" name="impôts" totalsRowFunction="sum" dataDxfId="230" totalsRowDxfId="57" dataCellStyle="Monétaire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4" name="Tableau1345561035" displayName="Tableau1345561035" ref="T2:U40" totalsRowCount="1" headerRowDxfId="588" dataDxfId="587" totalsRowDxfId="586" totalsRowCellStyle="Monétaire">
  <autoFilter ref="T2:U39"/>
  <tableColumns count="2">
    <tableColumn id="3" name="Coûts administratifs" totalsRowFunction="sum" dataDxfId="585" totalsRowDxfId="584" dataCellStyle="Monétaire">
      <calculatedColumnFormula>IF(Tableau1732[[#This Row],[Libellé de la prestation de services]]="","",SUM(Tableau13455934[[#This Row],[services généraux]:[impôts]]))</calculatedColumnFormula>
    </tableColumn>
    <tableColumn id="7" name="Coût de revient unitaire" totalsRowFunction="sum" dataDxfId="583" totalsRowDxfId="582" dataCellStyle="Monétaire">
      <calculatedColumnFormula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calculatedColumnFormula>
    </tableColumn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5" name="Tableau134556571136" displayName="Tableau134556571136" ref="V2:X40" totalsRowCount="1" headerRowDxfId="581" dataDxfId="580" totalsRowDxfId="579">
  <autoFilter ref="V2:X39"/>
  <tableColumns count="3">
    <tableColumn id="3" name="Marge nette sur prestation " totalsRowFunction="sum" dataDxfId="578" totalsRowDxfId="577" dataCellStyle="Monétaire">
      <calculatedColumnFormula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calculatedColumnFormula>
    </tableColumn>
    <tableColumn id="7" name="Taux de marge" dataDxfId="576" totalsRowDxfId="575" dataCellStyle="Pourcentage">
      <calculatedColumnFormula>IF(Tableau1732[[#This Row],[Montant HT]]="","",Tableau134556571136[[#This Row],[Marge nette sur prestation ]]/Tableau1345561035[[#This Row],[Coût de revient unitaire]])</calculatedColumnFormula>
    </tableColumn>
    <tableColumn id="8" name="Taux de marque " dataDxfId="574" totalsRowDxfId="573" dataCellStyle="Pourcentage">
      <calculatedColumnFormula>IF(Tableau1732[[#This Row],[Montant HT]]="","",Tableau134556571136[[#This Row],[Marge nette sur prestation ]]/Tableau1732[[#This Row],[Montant HT]])</calculatedColumnFormula>
    </tableColumn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6" name="Tableau1737" displayName="Tableau1737" ref="A2:J40" totalsRowCount="1" headerRowDxfId="572" dataDxfId="571" totalsRowDxfId="570">
  <autoFilter ref="A2:J39"/>
  <tableColumns count="10">
    <tableColumn id="1" name="Date  " dataDxfId="402" totalsRowDxfId="94"/>
    <tableColumn id="3" name="Libellé de la prestation de services" totalsRowFunction="count" dataDxfId="401" totalsRowDxfId="93"/>
    <tableColumn id="4" name="Montant HT" totalsRowFunction="sum" dataDxfId="400" totalsRowDxfId="92" dataCellStyle="Monétaire"/>
    <tableColumn id="10" name="Matières premières" totalsRowFunction="sum" dataDxfId="399" totalsRowDxfId="91" dataCellStyle="Monétaire"/>
    <tableColumn id="9" name="Marchandises" totalsRowFunction="sum" dataDxfId="398" totalsRowDxfId="90" dataCellStyle="Monétaire"/>
    <tableColumn id="8" name="Consommables" totalsRowFunction="sum" dataDxfId="397" totalsRowDxfId="89" dataCellStyle="Monétaire"/>
    <tableColumn id="11" name="Frais de livraison liés aux achats" totalsRowFunction="sum" dataDxfId="396" totalsRowDxfId="88" dataCellStyle="Monétaire"/>
    <tableColumn id="7" name="Couts d'achat et d'approvisionnement" totalsRowFunction="sum" dataDxfId="338" totalsRowDxfId="87" dataCellStyle="Monétaire">
      <calculatedColumnFormula>IF(Tableau1737[[#This Row],[Libellé de la prestation de services]]="","",SUM(Tableau1737[[#This Row],[Matières premières]:[Frais de livraison liés aux achats]]))</calculatedColumnFormula>
    </tableColumn>
    <tableColumn id="12" name="Mains d’œuvre avec charges sociales et patronales," totalsRowFunction="sum" dataDxfId="337" totalsRowDxfId="86" dataCellStyle="Monétaire"/>
    <tableColumn id="13" name="Charges locatives" totalsRowFunction="sum" dataDxfId="336" totalsRowDxfId="85" dataCellStyle="Monétaire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7" name="Tableau1354838" displayName="Tableau1354838" ref="K2:O40" totalsRowCount="1" headerRowDxfId="569" dataDxfId="568" totalsRowDxfId="567" totalsRowCellStyle="Monétaire">
  <autoFilter ref="K2:O39"/>
  <tableColumns count="5">
    <tableColumn id="3" name="Coûts de production" totalsRowFunction="sum" dataDxfId="292" totalsRowDxfId="84" dataCellStyle="Monétaire">
      <calculatedColumnFormula>IF(Tableau1737[[#This Row],[Libellé de la prestation de services]]="","",SUM(Tableau1737[[#This Row],[Mains d’œuvre avec charges sociales et patronales,]:[Charges locatives]]))</calculatedColumnFormula>
    </tableColumn>
    <tableColumn id="7" name="Marketing" totalsRowFunction="sum" dataDxfId="291" totalsRowDxfId="83" dataCellStyle="Monétaire"/>
    <tableColumn id="8" name="Prospection" totalsRowFunction="sum" dataDxfId="290" totalsRowDxfId="82" dataCellStyle="Monétaire"/>
    <tableColumn id="9" name="Commerciaux" totalsRowFunction="sum" dataDxfId="289" totalsRowDxfId="81" dataCellStyle="Monétaire"/>
    <tableColumn id="10" name="Livraison" totalsRowFunction="sum" dataDxfId="288" totalsRowDxfId="80" dataCellStyle="Monétaire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8" name="Tableau13455939" displayName="Tableau13455939" ref="P2:S40" totalsRowCount="1" headerRowDxfId="566" dataDxfId="565" totalsRowDxfId="564" totalsRowCellStyle="Monétaire">
  <autoFilter ref="P2:S39"/>
  <tableColumns count="4">
    <tableColumn id="3" name="Coûts de commercialisation et distribution" totalsRowFunction="sum" dataDxfId="237" totalsRowDxfId="79" dataCellStyle="Monétaire">
      <calculatedColumnFormula>IF(Tableau1737[[#This Row],[Libellé de la prestation de services]]="","",SUM(Tableau1354838[[#This Row],[Marketing]:[Livraison]]))</calculatedColumnFormula>
    </tableColumn>
    <tableColumn id="8" name="services généraux" totalsRowFunction="sum" dataDxfId="236" totalsRowDxfId="78" dataCellStyle="Monétaire"/>
    <tableColumn id="9" name="frais divers" totalsRowFunction="sum" dataDxfId="235" totalsRowDxfId="77" dataCellStyle="Monétaire"/>
    <tableColumn id="10" name="impôts" totalsRowFunction="sum" dataDxfId="234" totalsRowDxfId="76" dataCellStyle="Monétaire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9" name="Tableau1345561040" displayName="Tableau1345561040" ref="T2:U40" totalsRowCount="1" headerRowDxfId="563" dataDxfId="562" totalsRowDxfId="561" totalsRowCellStyle="Monétaire">
  <autoFilter ref="T2:U39"/>
  <tableColumns count="2">
    <tableColumn id="3" name="Coûts administratifs" totalsRowFunction="sum" dataDxfId="560" totalsRowDxfId="559" dataCellStyle="Monétaire">
      <calculatedColumnFormula>IF(Tableau1737[[#This Row],[Libellé de la prestation de services]]="","",SUM(Tableau13455939[[#This Row],[services généraux]:[impôts]]))</calculatedColumnFormula>
    </tableColumn>
    <tableColumn id="7" name="Coût de revient unitaire" totalsRowFunction="sum" dataDxfId="558" totalsRowDxfId="557" dataCellStyle="Monétaire">
      <calculatedColumnFormula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au134556" displayName="Tableau134556" ref="T2:U40" totalsRowCount="1" headerRowDxfId="738" dataDxfId="737" totalsRowDxfId="736" totalsRowCellStyle="Monétaire">
  <autoFilter ref="T2:U39"/>
  <tableColumns count="2">
    <tableColumn id="3" name="Coûts administratifs" totalsRowFunction="sum" dataDxfId="735" totalsRowDxfId="734" dataCellStyle="Monétaire">
      <calculatedColumnFormula>IF(Tableau1[[#This Row],[Libellé de la prestation de services]]="","",SUM(Tableau13455[[#This Row],[services généraux]:[impôts]]))</calculatedColumnFormula>
    </tableColumn>
    <tableColumn id="7" name="Coût de revient unitaire" totalsRowFunction="sum" dataDxfId="733" totalsRowDxfId="732" dataCellStyle="Monétaire">
      <calculatedColumnFormula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calculatedColumnFormula>
    </tableColumn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40" name="Tableau134556571141" displayName="Tableau134556571141" ref="V2:X40" totalsRowCount="1" headerRowDxfId="556" dataDxfId="555" totalsRowDxfId="554">
  <autoFilter ref="V2:X39"/>
  <tableColumns count="3">
    <tableColumn id="3" name="Marge nette sur prestation " totalsRowFunction="sum" dataDxfId="553" totalsRowDxfId="552" dataCellStyle="Monétaire">
      <calculatedColumnFormula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calculatedColumnFormula>
    </tableColumn>
    <tableColumn id="7" name="Taux de marge" dataDxfId="551" totalsRowDxfId="550" dataCellStyle="Pourcentage">
      <calculatedColumnFormula>IF(Tableau1737[[#This Row],[Montant HT]]="","",Tableau134556571141[[#This Row],[Marge nette sur prestation ]]/Tableau1345561040[[#This Row],[Coût de revient unitaire]])</calculatedColumnFormula>
    </tableColumn>
    <tableColumn id="8" name="Taux de marque " dataDxfId="549" totalsRowDxfId="548" dataCellStyle="Pourcentage">
      <calculatedColumnFormula>IF(Tableau1737[[#This Row],[Montant HT]]="","",Tableau134556571141[[#This Row],[Marge nette sur prestation ]]/Tableau1737[[#This Row],[Montant HT]])</calculatedColumnFormula>
    </tableColumn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1" name="Tableau1742" displayName="Tableau1742" ref="A2:J40" totalsRowCount="1" headerRowDxfId="547" dataDxfId="546" totalsRowDxfId="545">
  <autoFilter ref="A2:J39"/>
  <tableColumns count="10">
    <tableColumn id="1" name="Date  " dataDxfId="409" totalsRowDxfId="113"/>
    <tableColumn id="3" name="Libellé de la prestation de services" totalsRowFunction="count" dataDxfId="408" totalsRowDxfId="112"/>
    <tableColumn id="4" name="Montant HT" totalsRowFunction="sum" dataDxfId="407" totalsRowDxfId="111" dataCellStyle="Monétaire"/>
    <tableColumn id="10" name="Matières premières" totalsRowFunction="sum" dataDxfId="406" totalsRowDxfId="110" dataCellStyle="Monétaire"/>
    <tableColumn id="9" name="Marchandises" totalsRowFunction="sum" dataDxfId="405" totalsRowDxfId="109" dataCellStyle="Monétaire"/>
    <tableColumn id="8" name="Consommables" totalsRowFunction="sum" dataDxfId="404" totalsRowDxfId="108" dataCellStyle="Monétaire"/>
    <tableColumn id="11" name="Frais de livraison liés aux achats" totalsRowFunction="sum" dataDxfId="403" totalsRowDxfId="107" dataCellStyle="Monétaire"/>
    <tableColumn id="7" name="Couts d'achat et d'approvisionnement" totalsRowFunction="sum" dataDxfId="341" totalsRowDxfId="106" dataCellStyle="Monétaire">
      <calculatedColumnFormula>IF(Tableau1742[[#This Row],[Libellé de la prestation de services]]="","",SUM(Tableau1742[[#This Row],[Matières premières]:[Frais de livraison liés aux achats]]))</calculatedColumnFormula>
    </tableColumn>
    <tableColumn id="12" name="Mains d’œuvre avec charges sociales et patronales," totalsRowFunction="sum" dataDxfId="340" totalsRowDxfId="105" dataCellStyle="Monétaire"/>
    <tableColumn id="13" name="Charges locatives" totalsRowFunction="sum" dataDxfId="339" totalsRowDxfId="104" dataCellStyle="Monétaire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2" name="Tableau1354843" displayName="Tableau1354843" ref="K2:O40" totalsRowCount="1" headerRowDxfId="544" dataDxfId="543" totalsRowDxfId="542" totalsRowCellStyle="Monétaire">
  <autoFilter ref="K2:O39"/>
  <tableColumns count="5">
    <tableColumn id="3" name="Coûts de production" totalsRowFunction="sum" dataDxfId="297" totalsRowDxfId="103" dataCellStyle="Monétaire">
      <calculatedColumnFormula>IF(Tableau1742[[#This Row],[Libellé de la prestation de services]]="","",SUM(Tableau1742[[#This Row],[Mains d’œuvre avec charges sociales et patronales,]:[Charges locatives]]))</calculatedColumnFormula>
    </tableColumn>
    <tableColumn id="7" name="Marketing" totalsRowFunction="sum" dataDxfId="296" totalsRowDxfId="102" dataCellStyle="Monétaire"/>
    <tableColumn id="8" name="Prospection" totalsRowFunction="sum" dataDxfId="295" totalsRowDxfId="101" dataCellStyle="Monétaire"/>
    <tableColumn id="9" name="Commerciaux" totalsRowFunction="sum" dataDxfId="294" totalsRowDxfId="100" dataCellStyle="Monétaire"/>
    <tableColumn id="10" name="Livraison" totalsRowFunction="sum" dataDxfId="293" totalsRowDxfId="99" dataCellStyle="Monétaire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3" name="Tableau13455944" displayName="Tableau13455944" ref="P2:S40" totalsRowCount="1" headerRowDxfId="541" dataDxfId="540" totalsRowDxfId="539" totalsRowCellStyle="Monétaire">
  <autoFilter ref="P2:S39"/>
  <tableColumns count="4">
    <tableColumn id="3" name="Coûts de commercialisation et distribution" totalsRowFunction="sum" dataDxfId="241" totalsRowDxfId="98" dataCellStyle="Monétaire">
      <calculatedColumnFormula>IF(Tableau1742[[#This Row],[Libellé de la prestation de services]]="","",SUM(Tableau1354843[[#This Row],[Marketing]:[Livraison]]))</calculatedColumnFormula>
    </tableColumn>
    <tableColumn id="8" name="services généraux" totalsRowFunction="sum" dataDxfId="240" totalsRowDxfId="97" dataCellStyle="Monétaire"/>
    <tableColumn id="9" name="frais divers" totalsRowFunction="sum" dataDxfId="239" totalsRowDxfId="96" dataCellStyle="Monétaire"/>
    <tableColumn id="10" name="impôts" totalsRowFunction="sum" dataDxfId="238" totalsRowDxfId="95" dataCellStyle="Monétaire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4" name="Tableau1345561045" displayName="Tableau1345561045" ref="T2:U40" totalsRowCount="1" headerRowDxfId="538" dataDxfId="537" totalsRowDxfId="536" totalsRowCellStyle="Monétaire">
  <autoFilter ref="T2:U39"/>
  <tableColumns count="2">
    <tableColumn id="3" name="Coûts administratifs" totalsRowFunction="sum" dataDxfId="535" totalsRowDxfId="534" dataCellStyle="Monétaire">
      <calculatedColumnFormula>IF(Tableau1742[[#This Row],[Libellé de la prestation de services]]="","",SUM(Tableau13455944[[#This Row],[services généraux]:[impôts]]))</calculatedColumnFormula>
    </tableColumn>
    <tableColumn id="7" name="Coût de revient unitaire" totalsRowFunction="sum" dataDxfId="533" totalsRowDxfId="532" dataCellStyle="Monétaire">
      <calculatedColumnFormula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calculatedColumnFormula>
    </tableColumn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5" name="Tableau134556571146" displayName="Tableau134556571146" ref="V2:X40" totalsRowCount="1" headerRowDxfId="531" dataDxfId="530" totalsRowDxfId="529">
  <autoFilter ref="V2:X39"/>
  <tableColumns count="3">
    <tableColumn id="3" name="Marge nette sur prestation " totalsRowFunction="sum" dataDxfId="528" totalsRowDxfId="527" dataCellStyle="Monétaire">
      <calculatedColumnFormula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calculatedColumnFormula>
    </tableColumn>
    <tableColumn id="7" name="Taux de marge" dataDxfId="526" totalsRowDxfId="525" dataCellStyle="Pourcentage">
      <calculatedColumnFormula>IF(Tableau1742[[#This Row],[Montant HT]]="","",Tableau134556571146[[#This Row],[Marge nette sur prestation ]]/Tableau1345561045[[#This Row],[Coût de revient unitaire]])</calculatedColumnFormula>
    </tableColumn>
    <tableColumn id="8" name="Taux de marque " dataDxfId="524" totalsRowDxfId="523" dataCellStyle="Pourcentage">
      <calculatedColumnFormula>IF(Tableau1742[[#This Row],[Montant HT]]="","",Tableau134556571146[[#This Row],[Marge nette sur prestation ]]/Tableau1742[[#This Row],[Montant HT]])</calculatedColumnFormula>
    </tableColumn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6" name="Tableau1747" displayName="Tableau1747" ref="A2:J40" totalsRowCount="1" headerRowDxfId="522" dataDxfId="521" totalsRowDxfId="520">
  <autoFilter ref="A2:J39"/>
  <tableColumns count="10">
    <tableColumn id="1" name="Date  " dataDxfId="416" totalsRowDxfId="132"/>
    <tableColumn id="3" name="Libellé de la prestation de services" totalsRowFunction="count" dataDxfId="415" totalsRowDxfId="131"/>
    <tableColumn id="4" name="Montant HT" totalsRowFunction="sum" dataDxfId="414" totalsRowDxfId="130" dataCellStyle="Monétaire"/>
    <tableColumn id="10" name="Matières premières" totalsRowFunction="sum" dataDxfId="413" totalsRowDxfId="129" dataCellStyle="Monétaire"/>
    <tableColumn id="9" name="Marchandises" totalsRowFunction="sum" dataDxfId="412" totalsRowDxfId="128" dataCellStyle="Monétaire"/>
    <tableColumn id="8" name="Consommables" totalsRowFunction="sum" dataDxfId="411" totalsRowDxfId="127" dataCellStyle="Monétaire"/>
    <tableColumn id="11" name="Frais de livraison liés aux achats" totalsRowFunction="sum" dataDxfId="410" totalsRowDxfId="126" dataCellStyle="Monétaire"/>
    <tableColumn id="7" name="Couts d'achat et d'approvisionnement" totalsRowFunction="sum" dataDxfId="344" totalsRowDxfId="125" dataCellStyle="Monétaire">
      <calculatedColumnFormula>IF(Tableau1747[[#This Row],[Libellé de la prestation de services]]="","",SUM(Tableau1747[[#This Row],[Matières premières]:[Frais de livraison liés aux achats]]))</calculatedColumnFormula>
    </tableColumn>
    <tableColumn id="12" name="Mains d’œuvre avec charges sociales et patronales," totalsRowFunction="sum" dataDxfId="343" totalsRowDxfId="124" dataCellStyle="Monétaire"/>
    <tableColumn id="13" name="Charges locatives" totalsRowFunction="sum" dataDxfId="342" totalsRowDxfId="123" dataCellStyle="Monétaire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id="47" name="Tableau1354848" displayName="Tableau1354848" ref="K2:O40" totalsRowCount="1" headerRowDxfId="519" dataDxfId="518" totalsRowDxfId="517" totalsRowCellStyle="Monétaire">
  <autoFilter ref="K2:O39"/>
  <tableColumns count="5">
    <tableColumn id="3" name="Coûts de production" totalsRowFunction="sum" dataDxfId="302" totalsRowDxfId="122" dataCellStyle="Monétaire">
      <calculatedColumnFormula>IF(Tableau1747[[#This Row],[Libellé de la prestation de services]]="","",SUM(Tableau1747[[#This Row],[Mains d’œuvre avec charges sociales et patronales,]:[Charges locatives]]))</calculatedColumnFormula>
    </tableColumn>
    <tableColumn id="7" name="Marketing" totalsRowFunction="sum" dataDxfId="301" totalsRowDxfId="121" dataCellStyle="Monétaire"/>
    <tableColumn id="8" name="Prospection" totalsRowFunction="sum" dataDxfId="300" totalsRowDxfId="120" dataCellStyle="Monétaire"/>
    <tableColumn id="9" name="Commerciaux" totalsRowFunction="sum" dataDxfId="299" totalsRowDxfId="119" dataCellStyle="Monétaire"/>
    <tableColumn id="10" name="Livraison" totalsRowFunction="sum" dataDxfId="298" totalsRowDxfId="118" dataCellStyle="Monétaire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id="48" name="Tableau13455949" displayName="Tableau13455949" ref="P2:S40" totalsRowCount="1" headerRowDxfId="516" dataDxfId="515" totalsRowDxfId="514" totalsRowCellStyle="Monétaire">
  <autoFilter ref="P2:S39"/>
  <tableColumns count="4">
    <tableColumn id="3" name="Coûts de commercialisation et distribution" totalsRowFunction="sum" dataDxfId="245" totalsRowDxfId="117" dataCellStyle="Monétaire">
      <calculatedColumnFormula>IF(Tableau1747[[#This Row],[Libellé de la prestation de services]]="","",SUM(Tableau1354848[[#This Row],[Marketing]:[Livraison]]))</calculatedColumnFormula>
    </tableColumn>
    <tableColumn id="8" name="services généraux" totalsRowFunction="sum" dataDxfId="244" totalsRowDxfId="116" dataCellStyle="Monétaire"/>
    <tableColumn id="9" name="frais divers" totalsRowFunction="sum" dataDxfId="243" totalsRowDxfId="115" dataCellStyle="Monétaire"/>
    <tableColumn id="10" name="impôts" totalsRowFunction="sum" dataDxfId="242" totalsRowDxfId="114" dataCellStyle="Monétaire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id="49" name="Tableau1345561050" displayName="Tableau1345561050" ref="T2:U40" totalsRowCount="1" headerRowDxfId="513" dataDxfId="512" totalsRowDxfId="511" totalsRowCellStyle="Monétaire">
  <autoFilter ref="T2:U39"/>
  <tableColumns count="2">
    <tableColumn id="3" name="Coûts administratifs" totalsRowFunction="sum" dataDxfId="510" totalsRowDxfId="509" dataCellStyle="Monétaire">
      <calculatedColumnFormula>IF(Tableau1747[[#This Row],[Libellé de la prestation de services]]="","",SUM(Tableau13455949[[#This Row],[services généraux]:[impôts]]))</calculatedColumnFormula>
    </tableColumn>
    <tableColumn id="7" name="Coût de revient unitaire" totalsRowFunction="sum" dataDxfId="508" totalsRowDxfId="507" dataCellStyle="Monétaire">
      <calculatedColumnFormula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au13455657" displayName="Tableau13455657" ref="V2:X40" totalsRowCount="1" headerRowDxfId="731" dataDxfId="730" totalsRowDxfId="729">
  <autoFilter ref="V2:X39"/>
  <tableColumns count="3">
    <tableColumn id="3" name="Marge nette sur prestation " totalsRowFunction="sum" dataDxfId="728" totalsRowDxfId="727" dataCellStyle="Monétaire">
      <calculatedColumnFormula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calculatedColumnFormula>
    </tableColumn>
    <tableColumn id="7" name="Taux de marge" dataDxfId="726" totalsRowDxfId="725" dataCellStyle="Pourcentage">
      <calculatedColumnFormula>IF(Tableau1[[#This Row],[Montant HT]]="","",Tableau13455657[[#This Row],[Marge nette sur prestation ]]/Tableau134556[[#This Row],[Coût de revient unitaire]])</calculatedColumnFormula>
    </tableColumn>
    <tableColumn id="8" name="Taux de marque " dataDxfId="724" totalsRowDxfId="723" dataCellStyle="Pourcentage">
      <calculatedColumnFormula>IF(Tableau1[[#This Row],[Montant HT]]="","",Tableau13455657[[#This Row],[Marge nette sur prestation ]]/Tableau1[[#This Row],[Montant HT]])</calculatedColumnFormula>
    </tableColumn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id="50" name="Tableau134556571151" displayName="Tableau134556571151" ref="V2:X40" totalsRowCount="1" headerRowDxfId="506" dataDxfId="505" totalsRowDxfId="504">
  <autoFilter ref="V2:X39"/>
  <tableColumns count="3">
    <tableColumn id="3" name="Marge nette sur prestation " totalsRowFunction="sum" dataDxfId="503" totalsRowDxfId="502" dataCellStyle="Monétaire">
      <calculatedColumnFormula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calculatedColumnFormula>
    </tableColumn>
    <tableColumn id="7" name="Taux de marge" dataDxfId="501" totalsRowDxfId="500" dataCellStyle="Pourcentage">
      <calculatedColumnFormula>IF(Tableau1747[[#This Row],[Montant HT]]="","",Tableau134556571151[[#This Row],[Marge nette sur prestation ]]/Tableau1345561050[[#This Row],[Coût de revient unitaire]])</calculatedColumnFormula>
    </tableColumn>
    <tableColumn id="8" name="Taux de marque " dataDxfId="499" totalsRowDxfId="498" dataCellStyle="Pourcentage">
      <calculatedColumnFormula>IF(Tableau1747[[#This Row],[Montant HT]]="","",Tableau134556571151[[#This Row],[Marge nette sur prestation ]]/Tableau1747[[#This Row],[Montant HT]])</calculatedColumnFormula>
    </tableColumn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id="51" name="Tableau1752" displayName="Tableau1752" ref="A2:J40" totalsRowCount="1" headerRowDxfId="497" dataDxfId="496" totalsRowDxfId="495">
  <autoFilter ref="A2:J39"/>
  <tableColumns count="10">
    <tableColumn id="1" name="Date  " dataDxfId="423" totalsRowDxfId="151"/>
    <tableColumn id="3" name="Libellé de la prestation de services" totalsRowFunction="count" dataDxfId="422" totalsRowDxfId="150"/>
    <tableColumn id="4" name="Montant HT" totalsRowFunction="sum" dataDxfId="421" totalsRowDxfId="149" dataCellStyle="Monétaire"/>
    <tableColumn id="10" name="Matières premières" totalsRowFunction="sum" dataDxfId="420" totalsRowDxfId="148" dataCellStyle="Monétaire"/>
    <tableColumn id="9" name="Marchandises" totalsRowFunction="sum" dataDxfId="419" totalsRowDxfId="147" dataCellStyle="Monétaire"/>
    <tableColumn id="8" name="Consommables" totalsRowFunction="sum" dataDxfId="418" totalsRowDxfId="146" dataCellStyle="Monétaire"/>
    <tableColumn id="11" name="Frais de livraison liés aux achats" totalsRowFunction="sum" dataDxfId="417" totalsRowDxfId="145" dataCellStyle="Monétaire"/>
    <tableColumn id="7" name="Couts d'achat et d'approvisionnement" totalsRowFunction="sum" dataDxfId="347" totalsRowDxfId="144" dataCellStyle="Monétaire">
      <calculatedColumnFormula>IF(Tableau1752[[#This Row],[Libellé de la prestation de services]]="","",SUM(Tableau1752[[#This Row],[Matières premières]:[Frais de livraison liés aux achats]]))</calculatedColumnFormula>
    </tableColumn>
    <tableColumn id="12" name="Mains d’œuvre avec charges sociales et patronales," totalsRowFunction="sum" dataDxfId="346" totalsRowDxfId="143" dataCellStyle="Monétaire"/>
    <tableColumn id="13" name="Charges locatives" totalsRowFunction="sum" dataDxfId="345" totalsRowDxfId="142" dataCellStyle="Monétaire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id="52" name="Tableau1354853" displayName="Tableau1354853" ref="K2:O40" totalsRowCount="1" headerRowDxfId="494" dataDxfId="493" totalsRowDxfId="492" totalsRowCellStyle="Monétaire">
  <autoFilter ref="K2:O39"/>
  <tableColumns count="5">
    <tableColumn id="3" name="Coûts de production" totalsRowFunction="sum" dataDxfId="307" totalsRowDxfId="141" dataCellStyle="Monétaire">
      <calculatedColumnFormula>IF(Tableau1752[[#This Row],[Libellé de la prestation de services]]="","",SUM(Tableau1752[[#This Row],[Mains d’œuvre avec charges sociales et patronales,]:[Charges locatives]]))</calculatedColumnFormula>
    </tableColumn>
    <tableColumn id="7" name="Marketing" totalsRowFunction="sum" dataDxfId="306" totalsRowDxfId="140" dataCellStyle="Monétaire"/>
    <tableColumn id="8" name="Prospection" totalsRowFunction="sum" dataDxfId="305" totalsRowDxfId="139" dataCellStyle="Monétaire"/>
    <tableColumn id="9" name="Commerciaux" totalsRowFunction="sum" dataDxfId="304" totalsRowDxfId="138" dataCellStyle="Monétaire"/>
    <tableColumn id="10" name="Livraison" totalsRowFunction="sum" dataDxfId="303" totalsRowDxfId="137" dataCellStyle="Monétaire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id="53" name="Tableau13455954" displayName="Tableau13455954" ref="P2:S40" totalsRowCount="1" headerRowDxfId="491" dataDxfId="490" totalsRowDxfId="489" totalsRowCellStyle="Monétaire">
  <autoFilter ref="P2:S39"/>
  <tableColumns count="4">
    <tableColumn id="3" name="Coûts de commercialisation et distribution" totalsRowFunction="sum" dataDxfId="249" totalsRowDxfId="136" dataCellStyle="Monétaire">
      <calculatedColumnFormula>IF(Tableau1752[[#This Row],[Libellé de la prestation de services]]="","",SUM(Tableau1354853[[#This Row],[Marketing]:[Livraison]]))</calculatedColumnFormula>
    </tableColumn>
    <tableColumn id="8" name="services généraux" totalsRowFunction="sum" dataDxfId="248" totalsRowDxfId="135" dataCellStyle="Monétaire"/>
    <tableColumn id="9" name="frais divers" totalsRowFunction="sum" dataDxfId="247" totalsRowDxfId="134" dataCellStyle="Monétaire"/>
    <tableColumn id="10" name="impôts" totalsRowFunction="sum" dataDxfId="246" totalsRowDxfId="133" dataCellStyle="Monétaire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id="54" name="Tableau1345561055" displayName="Tableau1345561055" ref="T2:U40" totalsRowCount="1" headerRowDxfId="488" dataDxfId="487" totalsRowDxfId="486" totalsRowCellStyle="Monétaire">
  <autoFilter ref="T2:U39"/>
  <tableColumns count="2">
    <tableColumn id="3" name="Coûts administratifs" totalsRowFunction="sum" dataDxfId="485" totalsRowDxfId="484" dataCellStyle="Monétaire">
      <calculatedColumnFormula>IF(Tableau1752[[#This Row],[Libellé de la prestation de services]]="","",SUM(Tableau13455954[[#This Row],[services généraux]:[impôts]]))</calculatedColumnFormula>
    </tableColumn>
    <tableColumn id="7" name="Coût de revient unitaire" totalsRowFunction="sum" dataDxfId="483" totalsRowDxfId="482" dataCellStyle="Monétaire">
      <calculatedColumnFormula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calculatedColumnFormula>
    </tableColumn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id="55" name="Tableau134556571156" displayName="Tableau134556571156" ref="V2:X40" totalsRowCount="1" headerRowDxfId="481" dataDxfId="480" totalsRowDxfId="479">
  <autoFilter ref="V2:X39"/>
  <tableColumns count="3">
    <tableColumn id="3" name="Marge nette sur prestation " totalsRowFunction="sum" dataDxfId="478" totalsRowDxfId="477" dataCellStyle="Monétaire">
      <calculatedColumnFormula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calculatedColumnFormula>
    </tableColumn>
    <tableColumn id="7" name="Taux de marge" dataDxfId="476" totalsRowDxfId="475" dataCellStyle="Pourcentage">
      <calculatedColumnFormula>IF(Tableau1752[[#This Row],[Montant HT]]="","",Tableau134556571156[[#This Row],[Marge nette sur prestation ]]/Tableau1345561055[[#This Row],[Coût de revient unitaire]])</calculatedColumnFormula>
    </tableColumn>
    <tableColumn id="8" name="Taux de marque " dataDxfId="474" totalsRowDxfId="473" dataCellStyle="Pourcentage">
      <calculatedColumnFormula>IF(Tableau1752[[#This Row],[Montant HT]]="","",Tableau134556571156[[#This Row],[Marge nette sur prestation ]]/Tableau1752[[#This Row],[Montant HT]])</calculatedColumnFormula>
    </tableColumn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id="56" name="Tableau175257" displayName="Tableau175257" ref="A2:J40" totalsRowCount="1" headerRowDxfId="472" dataDxfId="471" totalsRowDxfId="470">
  <autoFilter ref="A2:J39"/>
  <tableColumns count="10">
    <tableColumn id="1" name="Date  " dataDxfId="430" totalsRowDxfId="170"/>
    <tableColumn id="3" name="Libellé de la prestation de services" totalsRowFunction="count" dataDxfId="429" totalsRowDxfId="169"/>
    <tableColumn id="4" name="Montant HT" totalsRowFunction="sum" dataDxfId="428" totalsRowDxfId="168" dataCellStyle="Monétaire"/>
    <tableColumn id="10" name="Matières premières" totalsRowFunction="sum" dataDxfId="427" totalsRowDxfId="167" dataCellStyle="Monétaire"/>
    <tableColumn id="9" name="Marchandises" totalsRowFunction="sum" dataDxfId="426" totalsRowDxfId="166" dataCellStyle="Monétaire"/>
    <tableColumn id="8" name="Consommables" totalsRowFunction="sum" dataDxfId="425" totalsRowDxfId="165" dataCellStyle="Monétaire"/>
    <tableColumn id="11" name="Frais de livraison liés aux achats" totalsRowFunction="sum" dataDxfId="424" totalsRowDxfId="164" dataCellStyle="Monétaire"/>
    <tableColumn id="7" name="Couts d'achat et d'approvisionnement" totalsRowFunction="sum" dataDxfId="350" totalsRowDxfId="163" dataCellStyle="Monétaire">
      <calculatedColumnFormula>IF(Tableau175257[[#This Row],[Libellé de la prestation de services]]="","",SUM(Tableau175257[[#This Row],[Matières premières]:[Frais de livraison liés aux achats]]))</calculatedColumnFormula>
    </tableColumn>
    <tableColumn id="12" name="Mains d’œuvre avec charges sociales et patronales," totalsRowFunction="sum" dataDxfId="349" totalsRowDxfId="162" dataCellStyle="Monétaire"/>
    <tableColumn id="13" name="Charges locatives" totalsRowFunction="sum" dataDxfId="348" totalsRowDxfId="161" dataCellStyle="Monétaire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id="57" name="Tableau135485358" displayName="Tableau135485358" ref="K2:O40" totalsRowCount="1" headerRowDxfId="469" dataDxfId="468" totalsRowDxfId="467" totalsRowCellStyle="Monétaire">
  <autoFilter ref="K2:O39"/>
  <tableColumns count="5">
    <tableColumn id="3" name="Coûts de production" totalsRowFunction="sum" dataDxfId="312" totalsRowDxfId="160" dataCellStyle="Monétaire">
      <calculatedColumnFormula>IF(Tableau175257[[#This Row],[Libellé de la prestation de services]]="","",SUM(Tableau175257[[#This Row],[Mains d’œuvre avec charges sociales et patronales,]:[Charges locatives]]))</calculatedColumnFormula>
    </tableColumn>
    <tableColumn id="7" name="Marketing" totalsRowFunction="sum" dataDxfId="311" totalsRowDxfId="159" dataCellStyle="Monétaire"/>
    <tableColumn id="8" name="Prospection" totalsRowFunction="sum" dataDxfId="310" totalsRowDxfId="158" dataCellStyle="Monétaire"/>
    <tableColumn id="9" name="Commerciaux" totalsRowFunction="sum" dataDxfId="309" totalsRowDxfId="157" dataCellStyle="Monétaire"/>
    <tableColumn id="10" name="Livraison" totalsRowFunction="sum" dataDxfId="308" totalsRowDxfId="156" dataCellStyle="Monétaire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id="58" name="Tableau1345595459" displayName="Tableau1345595459" ref="P2:S40" totalsRowCount="1" headerRowDxfId="466" dataDxfId="465" totalsRowDxfId="464" totalsRowCellStyle="Monétaire">
  <autoFilter ref="P2:S39"/>
  <tableColumns count="4">
    <tableColumn id="3" name="Coûts de commercialisation et distribution" totalsRowFunction="sum" dataDxfId="253" totalsRowDxfId="155" dataCellStyle="Monétaire">
      <calculatedColumnFormula>IF(Tableau175257[[#This Row],[Libellé de la prestation de services]]="","",SUM(Tableau135485358[[#This Row],[Marketing]:[Livraison]]))</calculatedColumnFormula>
    </tableColumn>
    <tableColumn id="8" name="services généraux" totalsRowFunction="sum" dataDxfId="252" totalsRowDxfId="154" dataCellStyle="Monétaire"/>
    <tableColumn id="9" name="frais divers" totalsRowFunction="sum" dataDxfId="251" totalsRowDxfId="153" dataCellStyle="Monétaire"/>
    <tableColumn id="10" name="impôts" totalsRowFunction="sum" dataDxfId="250" totalsRowDxfId="152" dataCellStyle="Monétaire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id="59" name="Tableau134556105560" displayName="Tableau134556105560" ref="T2:U40" totalsRowCount="1" headerRowDxfId="463" dataDxfId="462" totalsRowDxfId="461" totalsRowCellStyle="Monétaire">
  <autoFilter ref="T2:U39"/>
  <tableColumns count="2">
    <tableColumn id="3" name="Coûts administratifs" totalsRowFunction="sum" dataDxfId="460" totalsRowDxfId="459" dataCellStyle="Monétaire">
      <calculatedColumnFormula>IF(Tableau175257[[#This Row],[Libellé de la prestation de services]]="","",SUM(Tableau1345595459[[#This Row],[services généraux]:[impôts]]))</calculatedColumnFormula>
    </tableColumn>
    <tableColumn id="7" name="Coût de revient unitaire" totalsRowFunction="sum" dataDxfId="458" totalsRowDxfId="457" dataCellStyle="Monétaire">
      <calculatedColumnFormula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au17" displayName="Tableau17" ref="A2:J40" totalsRowCount="1" headerRowDxfId="722" dataDxfId="721" totalsRowDxfId="720">
  <autoFilter ref="A2:J39"/>
  <tableColumns count="10">
    <tableColumn id="1" name="Date  " dataDxfId="360" totalsRowDxfId="199"/>
    <tableColumn id="3" name="Libellé de la prestation de services" totalsRowFunction="count" dataDxfId="359" totalsRowDxfId="198"/>
    <tableColumn id="4" name="Montant HT" totalsRowFunction="sum" dataDxfId="358" totalsRowDxfId="197" dataCellStyle="Monétaire"/>
    <tableColumn id="10" name="Matières premières" totalsRowFunction="sum" dataDxfId="357" totalsRowDxfId="196" dataCellStyle="Monétaire"/>
    <tableColumn id="9" name="Marchandises" totalsRowFunction="sum" dataDxfId="356" totalsRowDxfId="195" dataCellStyle="Monétaire"/>
    <tableColumn id="8" name="Consommables" totalsRowFunction="sum" dataDxfId="355" totalsRowDxfId="194" dataCellStyle="Monétaire"/>
    <tableColumn id="11" name="Frais de livraison liés aux achats" totalsRowFunction="sum" dataDxfId="354" totalsRowDxfId="193" dataCellStyle="Monétaire"/>
    <tableColumn id="7" name="Couts d'achat et d'approvisionnement" totalsRowFunction="sum" dataDxfId="320" totalsRowDxfId="192" dataCellStyle="Monétaire">
      <calculatedColumnFormula>IF(Tableau17[[#This Row],[Libellé de la prestation de services]]="","",SUM(Tableau17[[#This Row],[Matières premières]:[Frais de livraison liés aux achats]]))</calculatedColumnFormula>
    </tableColumn>
    <tableColumn id="12" name="Mains d’œuvre avec charges sociales et patronales," totalsRowFunction="sum" dataDxfId="319" totalsRowDxfId="191" dataCellStyle="Monétaire"/>
    <tableColumn id="13" name="Charges locatives" totalsRowFunction="sum" dataDxfId="318" totalsRowDxfId="190" dataCellStyle="Monétaire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id="60" name="Tableau13455657115661" displayName="Tableau13455657115661" ref="V2:X40" totalsRowCount="1" headerRowDxfId="456" dataDxfId="455" totalsRowDxfId="454">
  <autoFilter ref="V2:X39"/>
  <tableColumns count="3">
    <tableColumn id="3" name="Marge nette sur prestation " totalsRowFunction="sum" dataDxfId="453" totalsRowDxfId="452" dataCellStyle="Monétaire">
      <calculatedColumnFormula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calculatedColumnFormula>
    </tableColumn>
    <tableColumn id="7" name="Taux de marge" dataDxfId="451" totalsRowDxfId="450" dataCellStyle="Pourcentage">
      <calculatedColumnFormula>IF(Tableau175257[[#This Row],[Montant HT]]="","",Tableau13455657115661[[#This Row],[Marge nette sur prestation ]]/Tableau134556105560[[#This Row],[Coût de revient unitaire]])</calculatedColumnFormula>
    </tableColumn>
    <tableColumn id="8" name="Taux de marque " dataDxfId="449" totalsRowDxfId="448" dataCellStyle="Pourcentage">
      <calculatedColumnFormula>IF(Tableau175257[[#This Row],[Montant HT]]="","",Tableau13455657115661[[#This Row],[Marge nette sur prestation ]]/Tableau175257[[#This Row],[Montant HT]])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au13548" displayName="Tableau13548" ref="K2:O40" totalsRowCount="1" headerRowDxfId="719" dataDxfId="718" totalsRowDxfId="717" totalsRowCellStyle="Monétaire">
  <autoFilter ref="K2:O39"/>
  <tableColumns count="5">
    <tableColumn id="3" name="Coûts de production" totalsRowFunction="sum" dataDxfId="262" totalsRowDxfId="446" dataCellStyle="Monétaire">
      <calculatedColumnFormula>IF(Tableau17[[#This Row],[Libellé de la prestation de services]]="","",SUM(Tableau17[[#This Row],[Mains d’œuvre avec charges sociales et patronales,]:[Charges locatives]]))</calculatedColumnFormula>
    </tableColumn>
    <tableColumn id="7" name="Marketing" totalsRowFunction="sum" dataDxfId="261" totalsRowDxfId="445" dataCellStyle="Monétaire"/>
    <tableColumn id="8" name="Prospection" totalsRowFunction="sum" dataDxfId="260" totalsRowDxfId="444" dataCellStyle="Monétaire"/>
    <tableColumn id="9" name="Commerciaux" totalsRowFunction="sum" dataDxfId="259" totalsRowDxfId="443" dataCellStyle="Monétaire"/>
    <tableColumn id="10" name="Livraison" totalsRowFunction="sum" dataDxfId="258" totalsRowDxfId="442" dataCellStyle="Monétaire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au134559" displayName="Tableau134559" ref="P2:S40" totalsRowCount="1" headerRowDxfId="716" dataDxfId="715" totalsRowDxfId="714" totalsRowCellStyle="Monétaire">
  <autoFilter ref="P2:S39"/>
  <tableColumns count="4">
    <tableColumn id="3" name="Coûts de commercialisation et distribution" totalsRowFunction="sum" dataDxfId="213" totalsRowDxfId="441" dataCellStyle="Monétaire">
      <calculatedColumnFormula>IF(Tableau17[[#This Row],[Libellé de la prestation de services]]="","",SUM(Tableau13548[[#This Row],[Marketing]:[Livraison]]))</calculatedColumnFormula>
    </tableColumn>
    <tableColumn id="8" name="services généraux" totalsRowFunction="sum" dataDxfId="212" totalsRowDxfId="440" dataCellStyle="Monétaire"/>
    <tableColumn id="9" name="frais divers" totalsRowFunction="sum" dataDxfId="211" totalsRowDxfId="439" dataCellStyle="Monétaire"/>
    <tableColumn id="10" name="impôts" totalsRowFunction="sum" dataDxfId="210" totalsRowDxfId="438" dataCellStyle="Monétaire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au13455610" displayName="Tableau13455610" ref="T2:U40" totalsRowCount="1" headerRowDxfId="713" dataDxfId="712" totalsRowDxfId="711" totalsRowCellStyle="Monétaire">
  <autoFilter ref="T2:U39"/>
  <tableColumns count="2">
    <tableColumn id="3" name="Coûts administratifs" totalsRowFunction="sum" dataDxfId="710" totalsRowDxfId="709" dataCellStyle="Monétaire">
      <calculatedColumnFormula>IF(Tableau17[[#This Row],[Libellé de la prestation de services]]="","",SUM(Tableau134559[[#This Row],[services généraux]:[impôts]]))</calculatedColumnFormula>
    </tableColumn>
    <tableColumn id="7" name="Coût de revient unitaire" totalsRowFunction="sum" dataDxfId="708" totalsRowDxfId="707" dataCellStyle="Monétaire">
      <calculatedColumnFormula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drawing" Target="../drawings/drawing10.xml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drawing" Target="../drawings/drawing11.xml"/><Relationship Id="rId6" Type="http://schemas.openxmlformats.org/officeDocument/2006/relationships/table" Target="../tables/table35.xml"/><Relationship Id="rId5" Type="http://schemas.openxmlformats.org/officeDocument/2006/relationships/table" Target="../tables/table34.xml"/><Relationship Id="rId4" Type="http://schemas.openxmlformats.org/officeDocument/2006/relationships/table" Target="../tables/table3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table" Target="../tables/table36.xml"/><Relationship Id="rId1" Type="http://schemas.openxmlformats.org/officeDocument/2006/relationships/drawing" Target="../drawings/drawing12.xml"/><Relationship Id="rId6" Type="http://schemas.openxmlformats.org/officeDocument/2006/relationships/table" Target="../tables/table40.xml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drawing" Target="../drawings/drawing13.xml"/><Relationship Id="rId6" Type="http://schemas.openxmlformats.org/officeDocument/2006/relationships/table" Target="../tables/table45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drawing" Target="../drawings/drawing14.xml"/><Relationship Id="rId6" Type="http://schemas.openxmlformats.org/officeDocument/2006/relationships/table" Target="../tables/table50.xml"/><Relationship Id="rId5" Type="http://schemas.openxmlformats.org/officeDocument/2006/relationships/table" Target="../tables/table49.xml"/><Relationship Id="rId4" Type="http://schemas.openxmlformats.org/officeDocument/2006/relationships/table" Target="../tables/table4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1.xml"/><Relationship Id="rId7" Type="http://schemas.openxmlformats.org/officeDocument/2006/relationships/table" Target="../tables/table5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4.xml"/><Relationship Id="rId5" Type="http://schemas.openxmlformats.org/officeDocument/2006/relationships/table" Target="../tables/table53.xml"/><Relationship Id="rId4" Type="http://schemas.openxmlformats.org/officeDocument/2006/relationships/table" Target="../tables/table5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table" Target="../tables/table56.xml"/><Relationship Id="rId1" Type="http://schemas.openxmlformats.org/officeDocument/2006/relationships/drawing" Target="../drawings/drawing16.xml"/><Relationship Id="rId6" Type="http://schemas.openxmlformats.org/officeDocument/2006/relationships/table" Target="../tables/table60.xml"/><Relationship Id="rId5" Type="http://schemas.openxmlformats.org/officeDocument/2006/relationships/table" Target="../tables/table59.xml"/><Relationship Id="rId4" Type="http://schemas.openxmlformats.org/officeDocument/2006/relationships/table" Target="../tables/table5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projetentreprise.fr/produit/mot-de-passe-tableau-suivi-chiffre-affaires-marg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7.xm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drawing" Target="../drawings/drawing8.xml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drawing" Target="../drawings/drawing9.xml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7" sqref="C7"/>
    </sheetView>
  </sheetViews>
  <sheetFormatPr baseColWidth="10" defaultRowHeight="15" x14ac:dyDescent="0.25"/>
  <cols>
    <col min="1" max="1" width="96.7109375" style="25" customWidth="1"/>
    <col min="2" max="2" width="58.42578125" style="23" customWidth="1"/>
    <col min="3" max="3" width="59.85546875" style="23" customWidth="1"/>
    <col min="4" max="16384" width="11.42578125" style="23"/>
  </cols>
  <sheetData>
    <row r="1" spans="1:3" s="22" customFormat="1" ht="29.25" customHeight="1" x14ac:dyDescent="0.25">
      <c r="A1" s="58" t="s">
        <v>58</v>
      </c>
      <c r="B1" s="59">
        <f ca="1">TODAY()</f>
        <v>43404</v>
      </c>
    </row>
    <row r="2" spans="1:3" x14ac:dyDescent="0.25">
      <c r="A2" s="2"/>
    </row>
    <row r="3" spans="1:3" x14ac:dyDescent="0.25">
      <c r="A3" s="24"/>
    </row>
    <row r="4" spans="1:3" x14ac:dyDescent="0.25">
      <c r="A4" s="23"/>
    </row>
    <row r="5" spans="1:3" x14ac:dyDescent="0.25">
      <c r="A5" s="23"/>
    </row>
    <row r="6" spans="1:3" ht="18" x14ac:dyDescent="0.25">
      <c r="B6" s="26"/>
    </row>
    <row r="7" spans="1:3" ht="23.25" x14ac:dyDescent="0.35">
      <c r="B7" s="27" t="s">
        <v>49</v>
      </c>
      <c r="C7" s="28"/>
    </row>
    <row r="8" spans="1:3" ht="23.25" x14ac:dyDescent="0.35">
      <c r="B8" s="27" t="s">
        <v>50</v>
      </c>
      <c r="C8" s="28"/>
    </row>
    <row r="9" spans="1:3" ht="23.25" x14ac:dyDescent="0.35">
      <c r="B9" s="27" t="s">
        <v>51</v>
      </c>
      <c r="C9" s="28"/>
    </row>
    <row r="10" spans="1:3" ht="23.25" x14ac:dyDescent="0.35">
      <c r="B10" s="27" t="s">
        <v>52</v>
      </c>
      <c r="C10" s="28"/>
    </row>
    <row r="11" spans="1:3" ht="23.25" x14ac:dyDescent="0.35">
      <c r="B11" s="27" t="s">
        <v>53</v>
      </c>
      <c r="C11" s="28"/>
    </row>
    <row r="12" spans="1:3" ht="23.25" x14ac:dyDescent="0.35">
      <c r="B12" s="27" t="s">
        <v>54</v>
      </c>
      <c r="C12" s="28"/>
    </row>
    <row r="13" spans="1:3" ht="23.25" x14ac:dyDescent="0.35">
      <c r="B13" s="27" t="s">
        <v>55</v>
      </c>
      <c r="C13" s="28"/>
    </row>
    <row r="14" spans="1:3" ht="23.25" x14ac:dyDescent="0.35">
      <c r="B14" s="27" t="s">
        <v>56</v>
      </c>
      <c r="C14" s="28"/>
    </row>
    <row r="15" spans="1:3" ht="23.25" x14ac:dyDescent="0.35">
      <c r="B15" s="27" t="s">
        <v>57</v>
      </c>
      <c r="C15" s="29"/>
    </row>
    <row r="16" spans="1:3" ht="23.25" x14ac:dyDescent="0.35">
      <c r="B16" s="27"/>
      <c r="C16" s="28"/>
    </row>
    <row r="17" spans="2:3" ht="23.25" x14ac:dyDescent="0.35">
      <c r="B17" s="27"/>
      <c r="C17" s="28"/>
    </row>
  </sheetData>
  <sheetProtection password="B9A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IF(Tableau1727[[#This Row],[Libellé de la prestation de services]]="","",SUM(Tableau1727[[#This Row],[Matières premières]:[Frais de livraison liés aux achats]]))</f>
        <v/>
      </c>
      <c r="I3" s="63"/>
      <c r="J3" s="63"/>
      <c r="K3" s="6" t="str">
        <f>IF(Tableau1727[[#This Row],[Libellé de la prestation de services]]="","",SUM(Tableau1727[[#This Row],[Mains d’œuvre avec charges sociales et patronales,]:[Charges locatives]]))</f>
        <v/>
      </c>
      <c r="L3" s="64"/>
      <c r="M3" s="64"/>
      <c r="N3" s="64"/>
      <c r="O3" s="64"/>
      <c r="P3" s="6" t="str">
        <f>IF(Tableau1727[[#This Row],[Libellé de la prestation de services]]="","",SUM(Tableau1354828[[#This Row],[Marketing]:[Livraison]]))</f>
        <v/>
      </c>
      <c r="Q3" s="63"/>
      <c r="R3" s="63"/>
      <c r="S3" s="63"/>
      <c r="T3" s="6" t="str">
        <f>IF(Tableau1727[[#This Row],[Libellé de la prestation de services]]="","",SUM(Tableau13455929[[#This Row],[services généraux]:[impôts]]))</f>
        <v/>
      </c>
      <c r="U3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" s="10" t="str">
        <f>IF(Tableau1727[[#This Row],[Montant HT]]="","",Tableau134556571131[[#This Row],[Marge nette sur prestation ]]/Tableau1345561030[[#This Row],[Coût de revient unitaire]])</f>
        <v/>
      </c>
      <c r="X3" s="10" t="str">
        <f>IF(Tableau1727[[#This Row],[Montant HT]]="","",Tableau134556571131[[#This Row],[Marge nette sur prestation ]]/Tableau1727[[#This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IF(Tableau1727[[#This Row],[Libellé de la prestation de services]]="","",SUM(Tableau1727[[#This Row],[Matières premières]:[Frais de livraison liés aux achats]]))</f>
        <v/>
      </c>
      <c r="I4" s="63"/>
      <c r="J4" s="63"/>
      <c r="K4" s="6" t="str">
        <f>IF(Tableau1727[[#This Row],[Libellé de la prestation de services]]="","",SUM(Tableau1727[[#This Row],[Mains d’œuvre avec charges sociales et patronales,]:[Charges locatives]]))</f>
        <v/>
      </c>
      <c r="L4" s="64"/>
      <c r="M4" s="64"/>
      <c r="N4" s="64"/>
      <c r="O4" s="64"/>
      <c r="P4" s="6" t="str">
        <f>IF(Tableau1727[[#This Row],[Libellé de la prestation de services]]="","",SUM(Tableau1354828[[#This Row],[Marketing]:[Livraison]]))</f>
        <v/>
      </c>
      <c r="Q4" s="63"/>
      <c r="R4" s="63"/>
      <c r="S4" s="63"/>
      <c r="T4" s="6" t="str">
        <f>IF(Tableau1727[[#This Row],[Libellé de la prestation de services]]="","",SUM(Tableau13455929[[#This Row],[services généraux]:[impôts]]))</f>
        <v/>
      </c>
      <c r="U4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4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4" s="10" t="str">
        <f>IF(Tableau1727[[#This Row],[Montant HT]]="","",Tableau134556571131[[#This Row],[Marge nette sur prestation ]]/Tableau1345561030[[#This Row],[Coût de revient unitaire]])</f>
        <v/>
      </c>
      <c r="X4" s="10" t="str">
        <f>IF(Tableau1727[[#This Row],[Montant HT]]="","",Tableau134556571131[[#This Row],[Marge nette sur prestation ]]/Tableau1727[[#This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IF(Tableau1727[[#This Row],[Libellé de la prestation de services]]="","",SUM(Tableau1727[[#This Row],[Matières premières]:[Frais de livraison liés aux achats]]))</f>
        <v/>
      </c>
      <c r="I5" s="63"/>
      <c r="J5" s="63"/>
      <c r="K5" s="6" t="str">
        <f>IF(Tableau1727[[#This Row],[Libellé de la prestation de services]]="","",SUM(Tableau1727[[#This Row],[Mains d’œuvre avec charges sociales et patronales,]:[Charges locatives]]))</f>
        <v/>
      </c>
      <c r="L5" s="64"/>
      <c r="M5" s="64"/>
      <c r="N5" s="64"/>
      <c r="O5" s="64"/>
      <c r="P5" s="6" t="str">
        <f>IF(Tableau1727[[#This Row],[Libellé de la prestation de services]]="","",SUM(Tableau1354828[[#This Row],[Marketing]:[Livraison]]))</f>
        <v/>
      </c>
      <c r="Q5" s="63"/>
      <c r="R5" s="63"/>
      <c r="S5" s="63"/>
      <c r="T5" s="6" t="str">
        <f>IF(Tableau1727[[#This Row],[Libellé de la prestation de services]]="","",SUM(Tableau13455929[[#This Row],[services généraux]:[impôts]]))</f>
        <v/>
      </c>
      <c r="U5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5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5" s="10" t="str">
        <f>IF(Tableau1727[[#This Row],[Montant HT]]="","",Tableau134556571131[[#This Row],[Marge nette sur prestation ]]/Tableau1345561030[[#This Row],[Coût de revient unitaire]])</f>
        <v/>
      </c>
      <c r="X5" s="10" t="str">
        <f>IF(Tableau1727[[#This Row],[Montant HT]]="","",Tableau134556571131[[#This Row],[Marge nette sur prestation ]]/Tableau1727[[#This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IF(Tableau1727[[#This Row],[Libellé de la prestation de services]]="","",SUM(Tableau1727[[#This Row],[Matières premières]:[Frais de livraison liés aux achats]]))</f>
        <v/>
      </c>
      <c r="I6" s="63"/>
      <c r="J6" s="63"/>
      <c r="K6" s="6" t="str">
        <f>IF(Tableau1727[[#This Row],[Libellé de la prestation de services]]="","",SUM(Tableau1727[[#This Row],[Mains d’œuvre avec charges sociales et patronales,]:[Charges locatives]]))</f>
        <v/>
      </c>
      <c r="L6" s="64"/>
      <c r="M6" s="64"/>
      <c r="N6" s="64"/>
      <c r="O6" s="64"/>
      <c r="P6" s="6" t="str">
        <f>IF(Tableau1727[[#This Row],[Libellé de la prestation de services]]="","",SUM(Tableau1354828[[#This Row],[Marketing]:[Livraison]]))</f>
        <v/>
      </c>
      <c r="Q6" s="63"/>
      <c r="R6" s="63"/>
      <c r="S6" s="63"/>
      <c r="T6" s="6" t="str">
        <f>IF(Tableau1727[[#This Row],[Libellé de la prestation de services]]="","",SUM(Tableau13455929[[#This Row],[services généraux]:[impôts]]))</f>
        <v/>
      </c>
      <c r="U6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6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6" s="10" t="str">
        <f>IF(Tableau1727[[#This Row],[Montant HT]]="","",Tableau134556571131[[#This Row],[Marge nette sur prestation ]]/Tableau1345561030[[#This Row],[Coût de revient unitaire]])</f>
        <v/>
      </c>
      <c r="X6" s="10" t="str">
        <f>IF(Tableau1727[[#This Row],[Montant HT]]="","",Tableau134556571131[[#This Row],[Marge nette sur prestation ]]/Tableau1727[[#This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IF(Tableau1727[[#This Row],[Libellé de la prestation de services]]="","",SUM(Tableau1727[[#This Row],[Matières premières]:[Frais de livraison liés aux achats]]))</f>
        <v/>
      </c>
      <c r="I7" s="63"/>
      <c r="J7" s="63"/>
      <c r="K7" s="6" t="str">
        <f>IF(Tableau1727[[#This Row],[Libellé de la prestation de services]]="","",SUM(Tableau1727[[#This Row],[Mains d’œuvre avec charges sociales et patronales,]:[Charges locatives]]))</f>
        <v/>
      </c>
      <c r="L7" s="64"/>
      <c r="M7" s="64"/>
      <c r="N7" s="64"/>
      <c r="O7" s="64"/>
      <c r="P7" s="6" t="str">
        <f>IF(Tableau1727[[#This Row],[Libellé de la prestation de services]]="","",SUM(Tableau1354828[[#This Row],[Marketing]:[Livraison]]))</f>
        <v/>
      </c>
      <c r="Q7" s="63"/>
      <c r="R7" s="63"/>
      <c r="S7" s="63"/>
      <c r="T7" s="6" t="str">
        <f>IF(Tableau1727[[#This Row],[Libellé de la prestation de services]]="","",SUM(Tableau13455929[[#This Row],[services généraux]:[impôts]]))</f>
        <v/>
      </c>
      <c r="U7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7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7" s="10" t="str">
        <f>IF(Tableau1727[[#This Row],[Montant HT]]="","",Tableau134556571131[[#This Row],[Marge nette sur prestation ]]/Tableau1345561030[[#This Row],[Coût de revient unitaire]])</f>
        <v/>
      </c>
      <c r="X7" s="10" t="str">
        <f>IF(Tableau1727[[#This Row],[Montant HT]]="","",Tableau134556571131[[#This Row],[Marge nette sur prestation ]]/Tableau1727[[#This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IF(Tableau1727[[#This Row],[Libellé de la prestation de services]]="","",SUM(Tableau1727[[#This Row],[Matières premières]:[Frais de livraison liés aux achats]]))</f>
        <v/>
      </c>
      <c r="I8" s="63"/>
      <c r="J8" s="63"/>
      <c r="K8" s="6" t="str">
        <f>IF(Tableau1727[[#This Row],[Libellé de la prestation de services]]="","",SUM(Tableau1727[[#This Row],[Mains d’œuvre avec charges sociales et patronales,]:[Charges locatives]]))</f>
        <v/>
      </c>
      <c r="L8" s="64"/>
      <c r="M8" s="64"/>
      <c r="N8" s="64"/>
      <c r="O8" s="64"/>
      <c r="P8" s="6" t="str">
        <f>IF(Tableau1727[[#This Row],[Libellé de la prestation de services]]="","",SUM(Tableau1354828[[#This Row],[Marketing]:[Livraison]]))</f>
        <v/>
      </c>
      <c r="Q8" s="63"/>
      <c r="R8" s="63"/>
      <c r="S8" s="63"/>
      <c r="T8" s="6" t="str">
        <f>IF(Tableau1727[[#This Row],[Libellé de la prestation de services]]="","",SUM(Tableau13455929[[#This Row],[services généraux]:[impôts]]))</f>
        <v/>
      </c>
      <c r="U8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8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8" s="10" t="str">
        <f>IF(Tableau1727[[#This Row],[Montant HT]]="","",Tableau134556571131[[#This Row],[Marge nette sur prestation ]]/Tableau1345561030[[#This Row],[Coût de revient unitaire]])</f>
        <v/>
      </c>
      <c r="X8" s="10" t="str">
        <f>IF(Tableau1727[[#This Row],[Montant HT]]="","",Tableau134556571131[[#This Row],[Marge nette sur prestation ]]/Tableau1727[[#This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IF(Tableau1727[[#This Row],[Libellé de la prestation de services]]="","",SUM(Tableau1727[[#This Row],[Matières premières]:[Frais de livraison liés aux achats]]))</f>
        <v/>
      </c>
      <c r="I9" s="63"/>
      <c r="J9" s="63"/>
      <c r="K9" s="6" t="str">
        <f>IF(Tableau1727[[#This Row],[Libellé de la prestation de services]]="","",SUM(Tableau1727[[#This Row],[Mains d’œuvre avec charges sociales et patronales,]:[Charges locatives]]))</f>
        <v/>
      </c>
      <c r="L9" s="64"/>
      <c r="M9" s="64"/>
      <c r="N9" s="64"/>
      <c r="O9" s="64"/>
      <c r="P9" s="6" t="str">
        <f>IF(Tableau1727[[#This Row],[Libellé de la prestation de services]]="","",SUM(Tableau1354828[[#This Row],[Marketing]:[Livraison]]))</f>
        <v/>
      </c>
      <c r="Q9" s="63"/>
      <c r="R9" s="63"/>
      <c r="S9" s="63"/>
      <c r="T9" s="6" t="str">
        <f>IF(Tableau1727[[#This Row],[Libellé de la prestation de services]]="","",SUM(Tableau13455929[[#This Row],[services généraux]:[impôts]]))</f>
        <v/>
      </c>
      <c r="U9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9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9" s="10" t="str">
        <f>IF(Tableau1727[[#This Row],[Montant HT]]="","",Tableau134556571131[[#This Row],[Marge nette sur prestation ]]/Tableau1345561030[[#This Row],[Coût de revient unitaire]])</f>
        <v/>
      </c>
      <c r="X9" s="10" t="str">
        <f>IF(Tableau1727[[#This Row],[Montant HT]]="","",Tableau134556571131[[#This Row],[Marge nette sur prestation ]]/Tableau1727[[#This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IF(Tableau1727[[#This Row],[Libellé de la prestation de services]]="","",SUM(Tableau1727[[#This Row],[Matières premières]:[Frais de livraison liés aux achats]]))</f>
        <v/>
      </c>
      <c r="I10" s="63"/>
      <c r="J10" s="63"/>
      <c r="K10" s="6" t="str">
        <f>IF(Tableau1727[[#This Row],[Libellé de la prestation de services]]="","",SUM(Tableau1727[[#This Row],[Mains d’œuvre avec charges sociales et patronales,]:[Charges locatives]]))</f>
        <v/>
      </c>
      <c r="L10" s="64"/>
      <c r="M10" s="64"/>
      <c r="N10" s="64"/>
      <c r="O10" s="64"/>
      <c r="P10" s="6" t="str">
        <f>IF(Tableau1727[[#This Row],[Libellé de la prestation de services]]="","",SUM(Tableau1354828[[#This Row],[Marketing]:[Livraison]]))</f>
        <v/>
      </c>
      <c r="Q10" s="63"/>
      <c r="R10" s="63"/>
      <c r="S10" s="63"/>
      <c r="T10" s="6" t="str">
        <f>IF(Tableau1727[[#This Row],[Libellé de la prestation de services]]="","",SUM(Tableau13455929[[#This Row],[services généraux]:[impôts]]))</f>
        <v/>
      </c>
      <c r="U10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0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0" s="10" t="str">
        <f>IF(Tableau1727[[#This Row],[Montant HT]]="","",Tableau134556571131[[#This Row],[Marge nette sur prestation ]]/Tableau1345561030[[#This Row],[Coût de revient unitaire]])</f>
        <v/>
      </c>
      <c r="X10" s="10" t="str">
        <f>IF(Tableau1727[[#This Row],[Montant HT]]="","",Tableau134556571131[[#This Row],[Marge nette sur prestation ]]/Tableau1727[[#This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IF(Tableau1727[[#This Row],[Libellé de la prestation de services]]="","",SUM(Tableau1727[[#This Row],[Matières premières]:[Frais de livraison liés aux achats]]))</f>
        <v/>
      </c>
      <c r="I11" s="63"/>
      <c r="J11" s="63"/>
      <c r="K11" s="6" t="str">
        <f>IF(Tableau1727[[#This Row],[Libellé de la prestation de services]]="","",SUM(Tableau1727[[#This Row],[Mains d’œuvre avec charges sociales et patronales,]:[Charges locatives]]))</f>
        <v/>
      </c>
      <c r="L11" s="64"/>
      <c r="M11" s="64"/>
      <c r="N11" s="64"/>
      <c r="O11" s="64"/>
      <c r="P11" s="6" t="str">
        <f>IF(Tableau1727[[#This Row],[Libellé de la prestation de services]]="","",SUM(Tableau1354828[[#This Row],[Marketing]:[Livraison]]))</f>
        <v/>
      </c>
      <c r="Q11" s="63"/>
      <c r="R11" s="63"/>
      <c r="S11" s="63"/>
      <c r="T11" s="6" t="str">
        <f>IF(Tableau1727[[#This Row],[Libellé de la prestation de services]]="","",SUM(Tableau13455929[[#This Row],[services généraux]:[impôts]]))</f>
        <v/>
      </c>
      <c r="U11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1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1" s="10" t="str">
        <f>IF(Tableau1727[[#This Row],[Montant HT]]="","",Tableau134556571131[[#This Row],[Marge nette sur prestation ]]/Tableau1345561030[[#This Row],[Coût de revient unitaire]])</f>
        <v/>
      </c>
      <c r="X11" s="10" t="str">
        <f>IF(Tableau1727[[#This Row],[Montant HT]]="","",Tableau134556571131[[#This Row],[Marge nette sur prestation ]]/Tableau1727[[#This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IF(Tableau1727[[#This Row],[Libellé de la prestation de services]]="","",SUM(Tableau1727[[#This Row],[Matières premières]:[Frais de livraison liés aux achats]]))</f>
        <v/>
      </c>
      <c r="I12" s="63"/>
      <c r="J12" s="63"/>
      <c r="K12" s="6" t="str">
        <f>IF(Tableau1727[[#This Row],[Libellé de la prestation de services]]="","",SUM(Tableau1727[[#This Row],[Mains d’œuvre avec charges sociales et patronales,]:[Charges locatives]]))</f>
        <v/>
      </c>
      <c r="L12" s="64"/>
      <c r="M12" s="64"/>
      <c r="N12" s="64"/>
      <c r="O12" s="64"/>
      <c r="P12" s="6" t="str">
        <f>IF(Tableau1727[[#This Row],[Libellé de la prestation de services]]="","",SUM(Tableau1354828[[#This Row],[Marketing]:[Livraison]]))</f>
        <v/>
      </c>
      <c r="Q12" s="63"/>
      <c r="R12" s="63"/>
      <c r="S12" s="63"/>
      <c r="T12" s="6" t="str">
        <f>IF(Tableau1727[[#This Row],[Libellé de la prestation de services]]="","",SUM(Tableau13455929[[#This Row],[services généraux]:[impôts]]))</f>
        <v/>
      </c>
      <c r="U12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2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2" s="10" t="str">
        <f>IF(Tableau1727[[#This Row],[Montant HT]]="","",Tableau134556571131[[#This Row],[Marge nette sur prestation ]]/Tableau1345561030[[#This Row],[Coût de revient unitaire]])</f>
        <v/>
      </c>
      <c r="X12" s="10" t="str">
        <f>IF(Tableau1727[[#This Row],[Montant HT]]="","",Tableau134556571131[[#This Row],[Marge nette sur prestation ]]/Tableau1727[[#This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IF(Tableau1727[[#This Row],[Libellé de la prestation de services]]="","",SUM(Tableau1727[[#This Row],[Matières premières]:[Frais de livraison liés aux achats]]))</f>
        <v/>
      </c>
      <c r="I13" s="63"/>
      <c r="J13" s="63"/>
      <c r="K13" s="6" t="str">
        <f>IF(Tableau1727[[#This Row],[Libellé de la prestation de services]]="","",SUM(Tableau1727[[#This Row],[Mains d’œuvre avec charges sociales et patronales,]:[Charges locatives]]))</f>
        <v/>
      </c>
      <c r="L13" s="64"/>
      <c r="M13" s="64"/>
      <c r="N13" s="64"/>
      <c r="O13" s="64"/>
      <c r="P13" s="6" t="str">
        <f>IF(Tableau1727[[#This Row],[Libellé de la prestation de services]]="","",SUM(Tableau1354828[[#This Row],[Marketing]:[Livraison]]))</f>
        <v/>
      </c>
      <c r="Q13" s="63"/>
      <c r="R13" s="63"/>
      <c r="S13" s="63"/>
      <c r="T13" s="6" t="str">
        <f>IF(Tableau1727[[#This Row],[Libellé de la prestation de services]]="","",SUM(Tableau13455929[[#This Row],[services généraux]:[impôts]]))</f>
        <v/>
      </c>
      <c r="U13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3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3" s="10" t="str">
        <f>IF(Tableau1727[[#This Row],[Montant HT]]="","",Tableau134556571131[[#This Row],[Marge nette sur prestation ]]/Tableau1345561030[[#This Row],[Coût de revient unitaire]])</f>
        <v/>
      </c>
      <c r="X13" s="10" t="str">
        <f>IF(Tableau1727[[#This Row],[Montant HT]]="","",Tableau134556571131[[#This Row],[Marge nette sur prestation ]]/Tableau1727[[#This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IF(Tableau1727[[#This Row],[Libellé de la prestation de services]]="","",SUM(Tableau1727[[#This Row],[Matières premières]:[Frais de livraison liés aux achats]]))</f>
        <v/>
      </c>
      <c r="I14" s="63"/>
      <c r="J14" s="63"/>
      <c r="K14" s="6" t="str">
        <f>IF(Tableau1727[[#This Row],[Libellé de la prestation de services]]="","",SUM(Tableau1727[[#This Row],[Mains d’œuvre avec charges sociales et patronales,]:[Charges locatives]]))</f>
        <v/>
      </c>
      <c r="L14" s="64"/>
      <c r="M14" s="64"/>
      <c r="N14" s="64"/>
      <c r="O14" s="64"/>
      <c r="P14" s="6" t="str">
        <f>IF(Tableau1727[[#This Row],[Libellé de la prestation de services]]="","",SUM(Tableau1354828[[#This Row],[Marketing]:[Livraison]]))</f>
        <v/>
      </c>
      <c r="Q14" s="63"/>
      <c r="R14" s="63"/>
      <c r="S14" s="63"/>
      <c r="T14" s="6" t="str">
        <f>IF(Tableau1727[[#This Row],[Libellé de la prestation de services]]="","",SUM(Tableau13455929[[#This Row],[services généraux]:[impôts]]))</f>
        <v/>
      </c>
      <c r="U14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4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4" s="10" t="str">
        <f>IF(Tableau1727[[#This Row],[Montant HT]]="","",Tableau134556571131[[#This Row],[Marge nette sur prestation ]]/Tableau1345561030[[#This Row],[Coût de revient unitaire]])</f>
        <v/>
      </c>
      <c r="X14" s="10" t="str">
        <f>IF(Tableau1727[[#This Row],[Montant HT]]="","",Tableau134556571131[[#This Row],[Marge nette sur prestation ]]/Tableau1727[[#This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IF(Tableau1727[[#This Row],[Libellé de la prestation de services]]="","",SUM(Tableau1727[[#This Row],[Matières premières]:[Frais de livraison liés aux achats]]))</f>
        <v/>
      </c>
      <c r="I15" s="63"/>
      <c r="J15" s="63"/>
      <c r="K15" s="6" t="str">
        <f>IF(Tableau1727[[#This Row],[Libellé de la prestation de services]]="","",SUM(Tableau1727[[#This Row],[Mains d’œuvre avec charges sociales et patronales,]:[Charges locatives]]))</f>
        <v/>
      </c>
      <c r="L15" s="64"/>
      <c r="M15" s="64"/>
      <c r="N15" s="64"/>
      <c r="O15" s="64"/>
      <c r="P15" s="6" t="str">
        <f>IF(Tableau1727[[#This Row],[Libellé de la prestation de services]]="","",SUM(Tableau1354828[[#This Row],[Marketing]:[Livraison]]))</f>
        <v/>
      </c>
      <c r="Q15" s="63"/>
      <c r="R15" s="63"/>
      <c r="S15" s="63"/>
      <c r="T15" s="6" t="str">
        <f>IF(Tableau1727[[#This Row],[Libellé de la prestation de services]]="","",SUM(Tableau13455929[[#This Row],[services généraux]:[impôts]]))</f>
        <v/>
      </c>
      <c r="U15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5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5" s="10" t="str">
        <f>IF(Tableau1727[[#This Row],[Montant HT]]="","",Tableau134556571131[[#This Row],[Marge nette sur prestation ]]/Tableau1345561030[[#This Row],[Coût de revient unitaire]])</f>
        <v/>
      </c>
      <c r="X15" s="10" t="str">
        <f>IF(Tableau1727[[#This Row],[Montant HT]]="","",Tableau134556571131[[#This Row],[Marge nette sur prestation ]]/Tableau1727[[#This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IF(Tableau1727[[#This Row],[Libellé de la prestation de services]]="","",SUM(Tableau1727[[#This Row],[Matières premières]:[Frais de livraison liés aux achats]]))</f>
        <v/>
      </c>
      <c r="I16" s="63"/>
      <c r="J16" s="63"/>
      <c r="K16" s="6" t="str">
        <f>IF(Tableau1727[[#This Row],[Libellé de la prestation de services]]="","",SUM(Tableau1727[[#This Row],[Mains d’œuvre avec charges sociales et patronales,]:[Charges locatives]]))</f>
        <v/>
      </c>
      <c r="L16" s="64"/>
      <c r="M16" s="64"/>
      <c r="N16" s="64"/>
      <c r="O16" s="64"/>
      <c r="P16" s="6" t="str">
        <f>IF(Tableau1727[[#This Row],[Libellé de la prestation de services]]="","",SUM(Tableau1354828[[#This Row],[Marketing]:[Livraison]]))</f>
        <v/>
      </c>
      <c r="Q16" s="63"/>
      <c r="R16" s="63"/>
      <c r="S16" s="63"/>
      <c r="T16" s="6" t="str">
        <f>IF(Tableau1727[[#This Row],[Libellé de la prestation de services]]="","",SUM(Tableau13455929[[#This Row],[services généraux]:[impôts]]))</f>
        <v/>
      </c>
      <c r="U16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6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6" s="10" t="str">
        <f>IF(Tableau1727[[#This Row],[Montant HT]]="","",Tableau134556571131[[#This Row],[Marge nette sur prestation ]]/Tableau1345561030[[#This Row],[Coût de revient unitaire]])</f>
        <v/>
      </c>
      <c r="X16" s="10" t="str">
        <f>IF(Tableau1727[[#This Row],[Montant HT]]="","",Tableau134556571131[[#This Row],[Marge nette sur prestation ]]/Tableau1727[[#This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IF(Tableau1727[[#This Row],[Libellé de la prestation de services]]="","",SUM(Tableau1727[[#This Row],[Matières premières]:[Frais de livraison liés aux achats]]))</f>
        <v/>
      </c>
      <c r="I17" s="63"/>
      <c r="J17" s="63"/>
      <c r="K17" s="6" t="str">
        <f>IF(Tableau1727[[#This Row],[Libellé de la prestation de services]]="","",SUM(Tableau1727[[#This Row],[Mains d’œuvre avec charges sociales et patronales,]:[Charges locatives]]))</f>
        <v/>
      </c>
      <c r="L17" s="64"/>
      <c r="M17" s="64"/>
      <c r="N17" s="64"/>
      <c r="O17" s="64"/>
      <c r="P17" s="6" t="str">
        <f>IF(Tableau1727[[#This Row],[Libellé de la prestation de services]]="","",SUM(Tableau1354828[[#This Row],[Marketing]:[Livraison]]))</f>
        <v/>
      </c>
      <c r="Q17" s="63"/>
      <c r="R17" s="63"/>
      <c r="S17" s="63"/>
      <c r="T17" s="6" t="str">
        <f>IF(Tableau1727[[#This Row],[Libellé de la prestation de services]]="","",SUM(Tableau13455929[[#This Row],[services généraux]:[impôts]]))</f>
        <v/>
      </c>
      <c r="U17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7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7" s="10" t="str">
        <f>IF(Tableau1727[[#This Row],[Montant HT]]="","",Tableau134556571131[[#This Row],[Marge nette sur prestation ]]/Tableau1345561030[[#This Row],[Coût de revient unitaire]])</f>
        <v/>
      </c>
      <c r="X17" s="10" t="str">
        <f>IF(Tableau1727[[#This Row],[Montant HT]]="","",Tableau134556571131[[#This Row],[Marge nette sur prestation ]]/Tableau1727[[#This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IF(Tableau1727[[#This Row],[Libellé de la prestation de services]]="","",SUM(Tableau1727[[#This Row],[Matières premières]:[Frais de livraison liés aux achats]]))</f>
        <v/>
      </c>
      <c r="I18" s="63"/>
      <c r="J18" s="63"/>
      <c r="K18" s="6" t="str">
        <f>IF(Tableau1727[[#This Row],[Libellé de la prestation de services]]="","",SUM(Tableau1727[[#This Row],[Mains d’œuvre avec charges sociales et patronales,]:[Charges locatives]]))</f>
        <v/>
      </c>
      <c r="L18" s="64"/>
      <c r="M18" s="64"/>
      <c r="N18" s="64"/>
      <c r="O18" s="64"/>
      <c r="P18" s="6" t="str">
        <f>IF(Tableau1727[[#This Row],[Libellé de la prestation de services]]="","",SUM(Tableau1354828[[#This Row],[Marketing]:[Livraison]]))</f>
        <v/>
      </c>
      <c r="Q18" s="63"/>
      <c r="R18" s="63"/>
      <c r="S18" s="63"/>
      <c r="T18" s="6" t="str">
        <f>IF(Tableau1727[[#This Row],[Libellé de la prestation de services]]="","",SUM(Tableau13455929[[#This Row],[services généraux]:[impôts]]))</f>
        <v/>
      </c>
      <c r="U18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8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8" s="10" t="str">
        <f>IF(Tableau1727[[#This Row],[Montant HT]]="","",Tableau134556571131[[#This Row],[Marge nette sur prestation ]]/Tableau1345561030[[#This Row],[Coût de revient unitaire]])</f>
        <v/>
      </c>
      <c r="X18" s="10" t="str">
        <f>IF(Tableau1727[[#This Row],[Montant HT]]="","",Tableau134556571131[[#This Row],[Marge nette sur prestation ]]/Tableau1727[[#This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IF(Tableau1727[[#This Row],[Libellé de la prestation de services]]="","",SUM(Tableau1727[[#This Row],[Matières premières]:[Frais de livraison liés aux achats]]))</f>
        <v/>
      </c>
      <c r="I19" s="63"/>
      <c r="J19" s="63"/>
      <c r="K19" s="6" t="str">
        <f>IF(Tableau1727[[#This Row],[Libellé de la prestation de services]]="","",SUM(Tableau1727[[#This Row],[Mains d’œuvre avec charges sociales et patronales,]:[Charges locatives]]))</f>
        <v/>
      </c>
      <c r="L19" s="64"/>
      <c r="M19" s="64"/>
      <c r="N19" s="64"/>
      <c r="O19" s="64"/>
      <c r="P19" s="6" t="str">
        <f>IF(Tableau1727[[#This Row],[Libellé de la prestation de services]]="","",SUM(Tableau1354828[[#This Row],[Marketing]:[Livraison]]))</f>
        <v/>
      </c>
      <c r="Q19" s="63"/>
      <c r="R19" s="63"/>
      <c r="S19" s="63"/>
      <c r="T19" s="6" t="str">
        <f>IF(Tableau1727[[#This Row],[Libellé de la prestation de services]]="","",SUM(Tableau13455929[[#This Row],[services généraux]:[impôts]]))</f>
        <v/>
      </c>
      <c r="U19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19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19" s="10" t="str">
        <f>IF(Tableau1727[[#This Row],[Montant HT]]="","",Tableau134556571131[[#This Row],[Marge nette sur prestation ]]/Tableau1345561030[[#This Row],[Coût de revient unitaire]])</f>
        <v/>
      </c>
      <c r="X19" s="10" t="str">
        <f>IF(Tableau1727[[#This Row],[Montant HT]]="","",Tableau134556571131[[#This Row],[Marge nette sur prestation ]]/Tableau1727[[#This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IF(Tableau1727[[#This Row],[Libellé de la prestation de services]]="","",SUM(Tableau1727[[#This Row],[Matières premières]:[Frais de livraison liés aux achats]]))</f>
        <v/>
      </c>
      <c r="I20" s="63"/>
      <c r="J20" s="63"/>
      <c r="K20" s="6" t="str">
        <f>IF(Tableau1727[[#This Row],[Libellé de la prestation de services]]="","",SUM(Tableau1727[[#This Row],[Mains d’œuvre avec charges sociales et patronales,]:[Charges locatives]]))</f>
        <v/>
      </c>
      <c r="L20" s="64"/>
      <c r="M20" s="64"/>
      <c r="N20" s="64"/>
      <c r="O20" s="64"/>
      <c r="P20" s="6" t="str">
        <f>IF(Tableau1727[[#This Row],[Libellé de la prestation de services]]="","",SUM(Tableau1354828[[#This Row],[Marketing]:[Livraison]]))</f>
        <v/>
      </c>
      <c r="Q20" s="63"/>
      <c r="R20" s="63"/>
      <c r="S20" s="63"/>
      <c r="T20" s="6" t="str">
        <f>IF(Tableau1727[[#This Row],[Libellé de la prestation de services]]="","",SUM(Tableau13455929[[#This Row],[services généraux]:[impôts]]))</f>
        <v/>
      </c>
      <c r="U20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0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0" s="10" t="str">
        <f>IF(Tableau1727[[#This Row],[Montant HT]]="","",Tableau134556571131[[#This Row],[Marge nette sur prestation ]]/Tableau1345561030[[#This Row],[Coût de revient unitaire]])</f>
        <v/>
      </c>
      <c r="X20" s="10" t="str">
        <f>IF(Tableau1727[[#This Row],[Montant HT]]="","",Tableau134556571131[[#This Row],[Marge nette sur prestation ]]/Tableau1727[[#This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IF(Tableau1727[[#This Row],[Libellé de la prestation de services]]="","",SUM(Tableau1727[[#This Row],[Matières premières]:[Frais de livraison liés aux achats]]))</f>
        <v/>
      </c>
      <c r="I21" s="63"/>
      <c r="J21" s="63"/>
      <c r="K21" s="6" t="str">
        <f>IF(Tableau1727[[#This Row],[Libellé de la prestation de services]]="","",SUM(Tableau1727[[#This Row],[Mains d’œuvre avec charges sociales et patronales,]:[Charges locatives]]))</f>
        <v/>
      </c>
      <c r="L21" s="64"/>
      <c r="M21" s="64"/>
      <c r="N21" s="64"/>
      <c r="O21" s="64"/>
      <c r="P21" s="6" t="str">
        <f>IF(Tableau1727[[#This Row],[Libellé de la prestation de services]]="","",SUM(Tableau1354828[[#This Row],[Marketing]:[Livraison]]))</f>
        <v/>
      </c>
      <c r="Q21" s="63"/>
      <c r="R21" s="63"/>
      <c r="S21" s="63"/>
      <c r="T21" s="6" t="str">
        <f>IF(Tableau1727[[#This Row],[Libellé de la prestation de services]]="","",SUM(Tableau13455929[[#This Row],[services généraux]:[impôts]]))</f>
        <v/>
      </c>
      <c r="U21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1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1" s="10" t="str">
        <f>IF(Tableau1727[[#This Row],[Montant HT]]="","",Tableau134556571131[[#This Row],[Marge nette sur prestation ]]/Tableau1345561030[[#This Row],[Coût de revient unitaire]])</f>
        <v/>
      </c>
      <c r="X21" s="10" t="str">
        <f>IF(Tableau1727[[#This Row],[Montant HT]]="","",Tableau134556571131[[#This Row],[Marge nette sur prestation ]]/Tableau1727[[#This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IF(Tableau1727[[#This Row],[Libellé de la prestation de services]]="","",SUM(Tableau1727[[#This Row],[Matières premières]:[Frais de livraison liés aux achats]]))</f>
        <v/>
      </c>
      <c r="I22" s="63"/>
      <c r="J22" s="63"/>
      <c r="K22" s="6" t="str">
        <f>IF(Tableau1727[[#This Row],[Libellé de la prestation de services]]="","",SUM(Tableau1727[[#This Row],[Mains d’œuvre avec charges sociales et patronales,]:[Charges locatives]]))</f>
        <v/>
      </c>
      <c r="L22" s="64"/>
      <c r="M22" s="64"/>
      <c r="N22" s="64"/>
      <c r="O22" s="64"/>
      <c r="P22" s="6" t="str">
        <f>IF(Tableau1727[[#This Row],[Libellé de la prestation de services]]="","",SUM(Tableau1354828[[#This Row],[Marketing]:[Livraison]]))</f>
        <v/>
      </c>
      <c r="Q22" s="63"/>
      <c r="R22" s="63"/>
      <c r="S22" s="63"/>
      <c r="T22" s="6" t="str">
        <f>IF(Tableau1727[[#This Row],[Libellé de la prestation de services]]="","",SUM(Tableau13455929[[#This Row],[services généraux]:[impôts]]))</f>
        <v/>
      </c>
      <c r="U22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2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2" s="10" t="str">
        <f>IF(Tableau1727[[#This Row],[Montant HT]]="","",Tableau134556571131[[#This Row],[Marge nette sur prestation ]]/Tableau1345561030[[#This Row],[Coût de revient unitaire]])</f>
        <v/>
      </c>
      <c r="X22" s="10" t="str">
        <f>IF(Tableau1727[[#This Row],[Montant HT]]="","",Tableau134556571131[[#This Row],[Marge nette sur prestation ]]/Tableau1727[[#This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IF(Tableau1727[[#This Row],[Libellé de la prestation de services]]="","",SUM(Tableau1727[[#This Row],[Matières premières]:[Frais de livraison liés aux achats]]))</f>
        <v/>
      </c>
      <c r="I23" s="63"/>
      <c r="J23" s="63"/>
      <c r="K23" s="6" t="str">
        <f>IF(Tableau1727[[#This Row],[Libellé de la prestation de services]]="","",SUM(Tableau1727[[#This Row],[Mains d’œuvre avec charges sociales et patronales,]:[Charges locatives]]))</f>
        <v/>
      </c>
      <c r="L23" s="64"/>
      <c r="M23" s="64"/>
      <c r="N23" s="64"/>
      <c r="O23" s="64"/>
      <c r="P23" s="6" t="str">
        <f>IF(Tableau1727[[#This Row],[Libellé de la prestation de services]]="","",SUM(Tableau1354828[[#This Row],[Marketing]:[Livraison]]))</f>
        <v/>
      </c>
      <c r="Q23" s="63"/>
      <c r="R23" s="63"/>
      <c r="S23" s="63"/>
      <c r="T23" s="6" t="str">
        <f>IF(Tableau1727[[#This Row],[Libellé de la prestation de services]]="","",SUM(Tableau13455929[[#This Row],[services généraux]:[impôts]]))</f>
        <v/>
      </c>
      <c r="U23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3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3" s="10" t="str">
        <f>IF(Tableau1727[[#This Row],[Montant HT]]="","",Tableau134556571131[[#This Row],[Marge nette sur prestation ]]/Tableau1345561030[[#This Row],[Coût de revient unitaire]])</f>
        <v/>
      </c>
      <c r="X23" s="10" t="str">
        <f>IF(Tableau1727[[#This Row],[Montant HT]]="","",Tableau134556571131[[#This Row],[Marge nette sur prestation ]]/Tableau1727[[#This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IF(Tableau1727[[#This Row],[Libellé de la prestation de services]]="","",SUM(Tableau1727[[#This Row],[Matières premières]:[Frais de livraison liés aux achats]]))</f>
        <v/>
      </c>
      <c r="I24" s="63"/>
      <c r="J24" s="63"/>
      <c r="K24" s="6" t="str">
        <f>IF(Tableau1727[[#This Row],[Libellé de la prestation de services]]="","",SUM(Tableau1727[[#This Row],[Mains d’œuvre avec charges sociales et patronales,]:[Charges locatives]]))</f>
        <v/>
      </c>
      <c r="L24" s="64"/>
      <c r="M24" s="64"/>
      <c r="N24" s="64"/>
      <c r="O24" s="64"/>
      <c r="P24" s="6" t="str">
        <f>IF(Tableau1727[[#This Row],[Libellé de la prestation de services]]="","",SUM(Tableau1354828[[#This Row],[Marketing]:[Livraison]]))</f>
        <v/>
      </c>
      <c r="Q24" s="63"/>
      <c r="R24" s="63"/>
      <c r="S24" s="63"/>
      <c r="T24" s="6" t="str">
        <f>IF(Tableau1727[[#This Row],[Libellé de la prestation de services]]="","",SUM(Tableau13455929[[#This Row],[services généraux]:[impôts]]))</f>
        <v/>
      </c>
      <c r="U24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4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4" s="10" t="str">
        <f>IF(Tableau1727[[#This Row],[Montant HT]]="","",Tableau134556571131[[#This Row],[Marge nette sur prestation ]]/Tableau1345561030[[#This Row],[Coût de revient unitaire]])</f>
        <v/>
      </c>
      <c r="X24" s="10" t="str">
        <f>IF(Tableau1727[[#This Row],[Montant HT]]="","",Tableau134556571131[[#This Row],[Marge nette sur prestation ]]/Tableau1727[[#This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IF(Tableau1727[[#This Row],[Libellé de la prestation de services]]="","",SUM(Tableau1727[[#This Row],[Matières premières]:[Frais de livraison liés aux achats]]))</f>
        <v/>
      </c>
      <c r="I25" s="63"/>
      <c r="J25" s="63"/>
      <c r="K25" s="6" t="str">
        <f>IF(Tableau1727[[#This Row],[Libellé de la prestation de services]]="","",SUM(Tableau1727[[#This Row],[Mains d’œuvre avec charges sociales et patronales,]:[Charges locatives]]))</f>
        <v/>
      </c>
      <c r="L25" s="64"/>
      <c r="M25" s="64"/>
      <c r="N25" s="64"/>
      <c r="O25" s="64"/>
      <c r="P25" s="6" t="str">
        <f>IF(Tableau1727[[#This Row],[Libellé de la prestation de services]]="","",SUM(Tableau1354828[[#This Row],[Marketing]:[Livraison]]))</f>
        <v/>
      </c>
      <c r="Q25" s="63"/>
      <c r="R25" s="63"/>
      <c r="S25" s="63"/>
      <c r="T25" s="6" t="str">
        <f>IF(Tableau1727[[#This Row],[Libellé de la prestation de services]]="","",SUM(Tableau13455929[[#This Row],[services généraux]:[impôts]]))</f>
        <v/>
      </c>
      <c r="U25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5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5" s="10" t="str">
        <f>IF(Tableau1727[[#This Row],[Montant HT]]="","",Tableau134556571131[[#This Row],[Marge nette sur prestation ]]/Tableau1345561030[[#This Row],[Coût de revient unitaire]])</f>
        <v/>
      </c>
      <c r="X25" s="10" t="str">
        <f>IF(Tableau1727[[#This Row],[Montant HT]]="","",Tableau134556571131[[#This Row],[Marge nette sur prestation ]]/Tableau1727[[#This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IF(Tableau1727[[#This Row],[Libellé de la prestation de services]]="","",SUM(Tableau1727[[#This Row],[Matières premières]:[Frais de livraison liés aux achats]]))</f>
        <v/>
      </c>
      <c r="I26" s="63"/>
      <c r="J26" s="63"/>
      <c r="K26" s="6" t="str">
        <f>IF(Tableau1727[[#This Row],[Libellé de la prestation de services]]="","",SUM(Tableau1727[[#This Row],[Mains d’œuvre avec charges sociales et patronales,]:[Charges locatives]]))</f>
        <v/>
      </c>
      <c r="L26" s="64"/>
      <c r="M26" s="64"/>
      <c r="N26" s="64"/>
      <c r="O26" s="64"/>
      <c r="P26" s="6" t="str">
        <f>IF(Tableau1727[[#This Row],[Libellé de la prestation de services]]="","",SUM(Tableau1354828[[#This Row],[Marketing]:[Livraison]]))</f>
        <v/>
      </c>
      <c r="Q26" s="63"/>
      <c r="R26" s="63"/>
      <c r="S26" s="63"/>
      <c r="T26" s="6" t="str">
        <f>IF(Tableau1727[[#This Row],[Libellé de la prestation de services]]="","",SUM(Tableau13455929[[#This Row],[services généraux]:[impôts]]))</f>
        <v/>
      </c>
      <c r="U26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6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6" s="10" t="str">
        <f>IF(Tableau1727[[#This Row],[Montant HT]]="","",Tableau134556571131[[#This Row],[Marge nette sur prestation ]]/Tableau1345561030[[#This Row],[Coût de revient unitaire]])</f>
        <v/>
      </c>
      <c r="X26" s="10" t="str">
        <f>IF(Tableau1727[[#This Row],[Montant HT]]="","",Tableau134556571131[[#This Row],[Marge nette sur prestation ]]/Tableau1727[[#This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IF(Tableau1727[[#This Row],[Libellé de la prestation de services]]="","",SUM(Tableau1727[[#This Row],[Matières premières]:[Frais de livraison liés aux achats]]))</f>
        <v/>
      </c>
      <c r="I27" s="63"/>
      <c r="J27" s="63"/>
      <c r="K27" s="6" t="str">
        <f>IF(Tableau1727[[#This Row],[Libellé de la prestation de services]]="","",SUM(Tableau1727[[#This Row],[Mains d’œuvre avec charges sociales et patronales,]:[Charges locatives]]))</f>
        <v/>
      </c>
      <c r="L27" s="64"/>
      <c r="M27" s="64"/>
      <c r="N27" s="64"/>
      <c r="O27" s="64"/>
      <c r="P27" s="6" t="str">
        <f>IF(Tableau1727[[#This Row],[Libellé de la prestation de services]]="","",SUM(Tableau1354828[[#This Row],[Marketing]:[Livraison]]))</f>
        <v/>
      </c>
      <c r="Q27" s="63"/>
      <c r="R27" s="63"/>
      <c r="S27" s="63"/>
      <c r="T27" s="6" t="str">
        <f>IF(Tableau1727[[#This Row],[Libellé de la prestation de services]]="","",SUM(Tableau13455929[[#This Row],[services généraux]:[impôts]]))</f>
        <v/>
      </c>
      <c r="U27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7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7" s="10" t="str">
        <f>IF(Tableau1727[[#This Row],[Montant HT]]="","",Tableau134556571131[[#This Row],[Marge nette sur prestation ]]/Tableau1345561030[[#This Row],[Coût de revient unitaire]])</f>
        <v/>
      </c>
      <c r="X27" s="10" t="str">
        <f>IF(Tableau1727[[#This Row],[Montant HT]]="","",Tableau134556571131[[#This Row],[Marge nette sur prestation ]]/Tableau1727[[#This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IF(Tableau1727[[#This Row],[Libellé de la prestation de services]]="","",SUM(Tableau1727[[#This Row],[Matières premières]:[Frais de livraison liés aux achats]]))</f>
        <v/>
      </c>
      <c r="I28" s="63"/>
      <c r="J28" s="63"/>
      <c r="K28" s="6" t="str">
        <f>IF(Tableau1727[[#This Row],[Libellé de la prestation de services]]="","",SUM(Tableau1727[[#This Row],[Mains d’œuvre avec charges sociales et patronales,]:[Charges locatives]]))</f>
        <v/>
      </c>
      <c r="L28" s="64"/>
      <c r="M28" s="64"/>
      <c r="N28" s="64"/>
      <c r="O28" s="64"/>
      <c r="P28" s="6" t="str">
        <f>IF(Tableau1727[[#This Row],[Libellé de la prestation de services]]="","",SUM(Tableau1354828[[#This Row],[Marketing]:[Livraison]]))</f>
        <v/>
      </c>
      <c r="Q28" s="63"/>
      <c r="R28" s="63"/>
      <c r="S28" s="63"/>
      <c r="T28" s="6" t="str">
        <f>IF(Tableau1727[[#This Row],[Libellé de la prestation de services]]="","",SUM(Tableau13455929[[#This Row],[services généraux]:[impôts]]))</f>
        <v/>
      </c>
      <c r="U28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8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8" s="10" t="str">
        <f>IF(Tableau1727[[#This Row],[Montant HT]]="","",Tableau134556571131[[#This Row],[Marge nette sur prestation ]]/Tableau1345561030[[#This Row],[Coût de revient unitaire]])</f>
        <v/>
      </c>
      <c r="X28" s="10" t="str">
        <f>IF(Tableau1727[[#This Row],[Montant HT]]="","",Tableau134556571131[[#This Row],[Marge nette sur prestation ]]/Tableau1727[[#This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IF(Tableau1727[[#This Row],[Libellé de la prestation de services]]="","",SUM(Tableau1727[[#This Row],[Matières premières]:[Frais de livraison liés aux achats]]))</f>
        <v/>
      </c>
      <c r="I29" s="63"/>
      <c r="J29" s="63"/>
      <c r="K29" s="6" t="str">
        <f>IF(Tableau1727[[#This Row],[Libellé de la prestation de services]]="","",SUM(Tableau1727[[#This Row],[Mains d’œuvre avec charges sociales et patronales,]:[Charges locatives]]))</f>
        <v/>
      </c>
      <c r="L29" s="64"/>
      <c r="M29" s="64"/>
      <c r="N29" s="64"/>
      <c r="O29" s="64"/>
      <c r="P29" s="6" t="str">
        <f>IF(Tableau1727[[#This Row],[Libellé de la prestation de services]]="","",SUM(Tableau1354828[[#This Row],[Marketing]:[Livraison]]))</f>
        <v/>
      </c>
      <c r="Q29" s="63"/>
      <c r="R29" s="63"/>
      <c r="S29" s="63"/>
      <c r="T29" s="6" t="str">
        <f>IF(Tableau1727[[#This Row],[Libellé de la prestation de services]]="","",SUM(Tableau13455929[[#This Row],[services généraux]:[impôts]]))</f>
        <v/>
      </c>
      <c r="U29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29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29" s="10" t="str">
        <f>IF(Tableau1727[[#This Row],[Montant HT]]="","",Tableau134556571131[[#This Row],[Marge nette sur prestation ]]/Tableau1345561030[[#This Row],[Coût de revient unitaire]])</f>
        <v/>
      </c>
      <c r="X29" s="10" t="str">
        <f>IF(Tableau1727[[#This Row],[Montant HT]]="","",Tableau134556571131[[#This Row],[Marge nette sur prestation ]]/Tableau1727[[#This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IF(Tableau1727[[#This Row],[Libellé de la prestation de services]]="","",SUM(Tableau1727[[#This Row],[Matières premières]:[Frais de livraison liés aux achats]]))</f>
        <v/>
      </c>
      <c r="I30" s="63"/>
      <c r="J30" s="63"/>
      <c r="K30" s="6" t="str">
        <f>IF(Tableau1727[[#This Row],[Libellé de la prestation de services]]="","",SUM(Tableau1727[[#This Row],[Mains d’œuvre avec charges sociales et patronales,]:[Charges locatives]]))</f>
        <v/>
      </c>
      <c r="L30" s="64"/>
      <c r="M30" s="64"/>
      <c r="N30" s="64"/>
      <c r="O30" s="64"/>
      <c r="P30" s="6" t="str">
        <f>IF(Tableau1727[[#This Row],[Libellé de la prestation de services]]="","",SUM(Tableau1354828[[#This Row],[Marketing]:[Livraison]]))</f>
        <v/>
      </c>
      <c r="Q30" s="63"/>
      <c r="R30" s="63"/>
      <c r="S30" s="63"/>
      <c r="T30" s="6" t="str">
        <f>IF(Tableau1727[[#This Row],[Libellé de la prestation de services]]="","",SUM(Tableau13455929[[#This Row],[services généraux]:[impôts]]))</f>
        <v/>
      </c>
      <c r="U30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0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0" s="10" t="str">
        <f>IF(Tableau1727[[#This Row],[Montant HT]]="","",Tableau134556571131[[#This Row],[Marge nette sur prestation ]]/Tableau1345561030[[#This Row],[Coût de revient unitaire]])</f>
        <v/>
      </c>
      <c r="X30" s="10" t="str">
        <f>IF(Tableau1727[[#This Row],[Montant HT]]="","",Tableau134556571131[[#This Row],[Marge nette sur prestation ]]/Tableau1727[[#This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IF(Tableau1727[[#This Row],[Libellé de la prestation de services]]="","",SUM(Tableau1727[[#This Row],[Matières premières]:[Frais de livraison liés aux achats]]))</f>
        <v/>
      </c>
      <c r="I31" s="63"/>
      <c r="J31" s="63"/>
      <c r="K31" s="6" t="str">
        <f>IF(Tableau1727[[#This Row],[Libellé de la prestation de services]]="","",SUM(Tableau1727[[#This Row],[Mains d’œuvre avec charges sociales et patronales,]:[Charges locatives]]))</f>
        <v/>
      </c>
      <c r="L31" s="64"/>
      <c r="M31" s="64"/>
      <c r="N31" s="64"/>
      <c r="O31" s="64"/>
      <c r="P31" s="6" t="str">
        <f>IF(Tableau1727[[#This Row],[Libellé de la prestation de services]]="","",SUM(Tableau1354828[[#This Row],[Marketing]:[Livraison]]))</f>
        <v/>
      </c>
      <c r="Q31" s="63"/>
      <c r="R31" s="63"/>
      <c r="S31" s="63"/>
      <c r="T31" s="6" t="str">
        <f>IF(Tableau1727[[#This Row],[Libellé de la prestation de services]]="","",SUM(Tableau13455929[[#This Row],[services généraux]:[impôts]]))</f>
        <v/>
      </c>
      <c r="U31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1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1" s="10" t="str">
        <f>IF(Tableau1727[[#This Row],[Montant HT]]="","",Tableau134556571131[[#This Row],[Marge nette sur prestation ]]/Tableau1345561030[[#This Row],[Coût de revient unitaire]])</f>
        <v/>
      </c>
      <c r="X31" s="10" t="str">
        <f>IF(Tableau1727[[#This Row],[Montant HT]]="","",Tableau134556571131[[#This Row],[Marge nette sur prestation ]]/Tableau1727[[#This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IF(Tableau1727[[#This Row],[Libellé de la prestation de services]]="","",SUM(Tableau1727[[#This Row],[Matières premières]:[Frais de livraison liés aux achats]]))</f>
        <v/>
      </c>
      <c r="I32" s="63"/>
      <c r="J32" s="63"/>
      <c r="K32" s="6" t="str">
        <f>IF(Tableau1727[[#This Row],[Libellé de la prestation de services]]="","",SUM(Tableau1727[[#This Row],[Mains d’œuvre avec charges sociales et patronales,]:[Charges locatives]]))</f>
        <v/>
      </c>
      <c r="L32" s="64"/>
      <c r="M32" s="64"/>
      <c r="N32" s="64"/>
      <c r="O32" s="64"/>
      <c r="P32" s="6" t="str">
        <f>IF(Tableau1727[[#This Row],[Libellé de la prestation de services]]="","",SUM(Tableau1354828[[#This Row],[Marketing]:[Livraison]]))</f>
        <v/>
      </c>
      <c r="Q32" s="63"/>
      <c r="R32" s="63"/>
      <c r="S32" s="63"/>
      <c r="T32" s="6" t="str">
        <f>IF(Tableau1727[[#This Row],[Libellé de la prestation de services]]="","",SUM(Tableau13455929[[#This Row],[services généraux]:[impôts]]))</f>
        <v/>
      </c>
      <c r="U32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2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2" s="10" t="str">
        <f>IF(Tableau1727[[#This Row],[Montant HT]]="","",Tableau134556571131[[#This Row],[Marge nette sur prestation ]]/Tableau1345561030[[#This Row],[Coût de revient unitaire]])</f>
        <v/>
      </c>
      <c r="X32" s="10" t="str">
        <f>IF(Tableau1727[[#This Row],[Montant HT]]="","",Tableau134556571131[[#This Row],[Marge nette sur prestation ]]/Tableau1727[[#This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IF(Tableau1727[[#This Row],[Libellé de la prestation de services]]="","",SUM(Tableau1727[[#This Row],[Matières premières]:[Frais de livraison liés aux achats]]))</f>
        <v/>
      </c>
      <c r="I33" s="63"/>
      <c r="J33" s="63"/>
      <c r="K33" s="6" t="str">
        <f>IF(Tableau1727[[#This Row],[Libellé de la prestation de services]]="","",SUM(Tableau1727[[#This Row],[Mains d’œuvre avec charges sociales et patronales,]:[Charges locatives]]))</f>
        <v/>
      </c>
      <c r="L33" s="64"/>
      <c r="M33" s="64"/>
      <c r="N33" s="64"/>
      <c r="O33" s="64"/>
      <c r="P33" s="6" t="str">
        <f>IF(Tableau1727[[#This Row],[Libellé de la prestation de services]]="","",SUM(Tableau1354828[[#This Row],[Marketing]:[Livraison]]))</f>
        <v/>
      </c>
      <c r="Q33" s="63"/>
      <c r="R33" s="63"/>
      <c r="S33" s="63"/>
      <c r="T33" s="6" t="str">
        <f>IF(Tableau1727[[#This Row],[Libellé de la prestation de services]]="","",SUM(Tableau13455929[[#This Row],[services généraux]:[impôts]]))</f>
        <v/>
      </c>
      <c r="U33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3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3" s="10" t="str">
        <f>IF(Tableau1727[[#This Row],[Montant HT]]="","",Tableau134556571131[[#This Row],[Marge nette sur prestation ]]/Tableau1345561030[[#This Row],[Coût de revient unitaire]])</f>
        <v/>
      </c>
      <c r="X33" s="10" t="str">
        <f>IF(Tableau1727[[#This Row],[Montant HT]]="","",Tableau134556571131[[#This Row],[Marge nette sur prestation ]]/Tableau1727[[#This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IF(Tableau1727[[#This Row],[Libellé de la prestation de services]]="","",SUM(Tableau1727[[#This Row],[Matières premières]:[Frais de livraison liés aux achats]]))</f>
        <v/>
      </c>
      <c r="I34" s="63"/>
      <c r="J34" s="63"/>
      <c r="K34" s="6" t="str">
        <f>IF(Tableau1727[[#This Row],[Libellé de la prestation de services]]="","",SUM(Tableau1727[[#This Row],[Mains d’œuvre avec charges sociales et patronales,]:[Charges locatives]]))</f>
        <v/>
      </c>
      <c r="L34" s="64"/>
      <c r="M34" s="64"/>
      <c r="N34" s="64"/>
      <c r="O34" s="64"/>
      <c r="P34" s="6" t="str">
        <f>IF(Tableau1727[[#This Row],[Libellé de la prestation de services]]="","",SUM(Tableau1354828[[#This Row],[Marketing]:[Livraison]]))</f>
        <v/>
      </c>
      <c r="Q34" s="63"/>
      <c r="R34" s="63"/>
      <c r="S34" s="63"/>
      <c r="T34" s="6" t="str">
        <f>IF(Tableau1727[[#This Row],[Libellé de la prestation de services]]="","",SUM(Tableau13455929[[#This Row],[services généraux]:[impôts]]))</f>
        <v/>
      </c>
      <c r="U34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4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4" s="10" t="str">
        <f>IF(Tableau1727[[#This Row],[Montant HT]]="","",Tableau134556571131[[#This Row],[Marge nette sur prestation ]]/Tableau1345561030[[#This Row],[Coût de revient unitaire]])</f>
        <v/>
      </c>
      <c r="X34" s="10" t="str">
        <f>IF(Tableau1727[[#This Row],[Montant HT]]="","",Tableau134556571131[[#This Row],[Marge nette sur prestation ]]/Tableau1727[[#This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IF(Tableau1727[[#This Row],[Libellé de la prestation de services]]="","",SUM(Tableau1727[[#This Row],[Matières premières]:[Frais de livraison liés aux achats]]))</f>
        <v/>
      </c>
      <c r="I35" s="63"/>
      <c r="J35" s="63"/>
      <c r="K35" s="6" t="str">
        <f>IF(Tableau1727[[#This Row],[Libellé de la prestation de services]]="","",SUM(Tableau1727[[#This Row],[Mains d’œuvre avec charges sociales et patronales,]:[Charges locatives]]))</f>
        <v/>
      </c>
      <c r="L35" s="64"/>
      <c r="M35" s="64"/>
      <c r="N35" s="64"/>
      <c r="O35" s="64"/>
      <c r="P35" s="6" t="str">
        <f>IF(Tableau1727[[#This Row],[Libellé de la prestation de services]]="","",SUM(Tableau1354828[[#This Row],[Marketing]:[Livraison]]))</f>
        <v/>
      </c>
      <c r="Q35" s="63"/>
      <c r="R35" s="63"/>
      <c r="S35" s="63"/>
      <c r="T35" s="6" t="str">
        <f>IF(Tableau1727[[#This Row],[Libellé de la prestation de services]]="","",SUM(Tableau13455929[[#This Row],[services généraux]:[impôts]]))</f>
        <v/>
      </c>
      <c r="U35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5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5" s="10" t="str">
        <f>IF(Tableau1727[[#This Row],[Montant HT]]="","",Tableau134556571131[[#This Row],[Marge nette sur prestation ]]/Tableau1345561030[[#This Row],[Coût de revient unitaire]])</f>
        <v/>
      </c>
      <c r="X35" s="10" t="str">
        <f>IF(Tableau1727[[#This Row],[Montant HT]]="","",Tableau134556571131[[#This Row],[Marge nette sur prestation ]]/Tableau1727[[#This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IF(Tableau1727[[#This Row],[Libellé de la prestation de services]]="","",SUM(Tableau1727[[#This Row],[Matières premières]:[Frais de livraison liés aux achats]]))</f>
        <v/>
      </c>
      <c r="I36" s="63"/>
      <c r="J36" s="63"/>
      <c r="K36" s="6" t="str">
        <f>IF(Tableau1727[[#This Row],[Libellé de la prestation de services]]="","",SUM(Tableau1727[[#This Row],[Mains d’œuvre avec charges sociales et patronales,]:[Charges locatives]]))</f>
        <v/>
      </c>
      <c r="L36" s="64"/>
      <c r="M36" s="64"/>
      <c r="N36" s="64"/>
      <c r="O36" s="64"/>
      <c r="P36" s="6" t="str">
        <f>IF(Tableau1727[[#This Row],[Libellé de la prestation de services]]="","",SUM(Tableau1354828[[#This Row],[Marketing]:[Livraison]]))</f>
        <v/>
      </c>
      <c r="Q36" s="63"/>
      <c r="R36" s="63"/>
      <c r="S36" s="63"/>
      <c r="T36" s="6" t="str">
        <f>IF(Tableau1727[[#This Row],[Libellé de la prestation de services]]="","",SUM(Tableau13455929[[#This Row],[services généraux]:[impôts]]))</f>
        <v/>
      </c>
      <c r="U36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6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6" s="10" t="str">
        <f>IF(Tableau1727[[#This Row],[Montant HT]]="","",Tableau134556571131[[#This Row],[Marge nette sur prestation ]]/Tableau1345561030[[#This Row],[Coût de revient unitaire]])</f>
        <v/>
      </c>
      <c r="X36" s="10" t="str">
        <f>IF(Tableau1727[[#This Row],[Montant HT]]="","",Tableau134556571131[[#This Row],[Marge nette sur prestation ]]/Tableau1727[[#This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IF(Tableau1727[[#This Row],[Libellé de la prestation de services]]="","",SUM(Tableau1727[[#This Row],[Matières premières]:[Frais de livraison liés aux achats]]))</f>
        <v/>
      </c>
      <c r="I37" s="63"/>
      <c r="J37" s="63"/>
      <c r="K37" s="6" t="str">
        <f>IF(Tableau1727[[#This Row],[Libellé de la prestation de services]]="","",SUM(Tableau1727[[#This Row],[Mains d’œuvre avec charges sociales et patronales,]:[Charges locatives]]))</f>
        <v/>
      </c>
      <c r="L37" s="64"/>
      <c r="M37" s="64"/>
      <c r="N37" s="64"/>
      <c r="O37" s="64"/>
      <c r="P37" s="6" t="str">
        <f>IF(Tableau1727[[#This Row],[Libellé de la prestation de services]]="","",SUM(Tableau1354828[[#This Row],[Marketing]:[Livraison]]))</f>
        <v/>
      </c>
      <c r="Q37" s="63"/>
      <c r="R37" s="63"/>
      <c r="S37" s="63"/>
      <c r="T37" s="6" t="str">
        <f>IF(Tableau1727[[#This Row],[Libellé de la prestation de services]]="","",SUM(Tableau13455929[[#This Row],[services généraux]:[impôts]]))</f>
        <v/>
      </c>
      <c r="U37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7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7" s="10" t="str">
        <f>IF(Tableau1727[[#This Row],[Montant HT]]="","",Tableau134556571131[[#This Row],[Marge nette sur prestation ]]/Tableau1345561030[[#This Row],[Coût de revient unitaire]])</f>
        <v/>
      </c>
      <c r="X37" s="10" t="str">
        <f>IF(Tableau1727[[#This Row],[Montant HT]]="","",Tableau134556571131[[#This Row],[Marge nette sur prestation ]]/Tableau1727[[#This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IF(Tableau1727[[#This Row],[Libellé de la prestation de services]]="","",SUM(Tableau1727[[#This Row],[Matières premières]:[Frais de livraison liés aux achats]]))</f>
        <v/>
      </c>
      <c r="I38" s="63"/>
      <c r="J38" s="63"/>
      <c r="K38" s="6" t="str">
        <f>IF(Tableau1727[[#This Row],[Libellé de la prestation de services]]="","",SUM(Tableau1727[[#This Row],[Mains d’œuvre avec charges sociales et patronales,]:[Charges locatives]]))</f>
        <v/>
      </c>
      <c r="L38" s="64"/>
      <c r="M38" s="64"/>
      <c r="N38" s="64"/>
      <c r="O38" s="64"/>
      <c r="P38" s="6" t="str">
        <f>IF(Tableau1727[[#This Row],[Libellé de la prestation de services]]="","",SUM(Tableau1354828[[#This Row],[Marketing]:[Livraison]]))</f>
        <v/>
      </c>
      <c r="Q38" s="63"/>
      <c r="R38" s="63"/>
      <c r="S38" s="63"/>
      <c r="T38" s="6" t="str">
        <f>IF(Tableau1727[[#This Row],[Libellé de la prestation de services]]="","",SUM(Tableau13455929[[#This Row],[services généraux]:[impôts]]))</f>
        <v/>
      </c>
      <c r="U38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8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8" s="10" t="str">
        <f>IF(Tableau1727[[#This Row],[Montant HT]]="","",Tableau134556571131[[#This Row],[Marge nette sur prestation ]]/Tableau1345561030[[#This Row],[Coût de revient unitaire]])</f>
        <v/>
      </c>
      <c r="X38" s="10" t="str">
        <f>IF(Tableau1727[[#This Row],[Montant HT]]="","",Tableau134556571131[[#This Row],[Marge nette sur prestation ]]/Tableau1727[[#This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IF(Tableau1727[[#This Row],[Libellé de la prestation de services]]="","",SUM(Tableau1727[[#This Row],[Matières premières]:[Frais de livraison liés aux achats]]))</f>
        <v/>
      </c>
      <c r="I39" s="63"/>
      <c r="J39" s="63"/>
      <c r="K39" s="6" t="str">
        <f>IF(Tableau1727[[#This Row],[Libellé de la prestation de services]]="","",SUM(Tableau1727[[#This Row],[Mains d’œuvre avec charges sociales et patronales,]:[Charges locatives]]))</f>
        <v/>
      </c>
      <c r="L39" s="64"/>
      <c r="M39" s="64"/>
      <c r="N39" s="64"/>
      <c r="O39" s="64"/>
      <c r="P39" s="6" t="str">
        <f>IF(Tableau1727[[#This Row],[Libellé de la prestation de services]]="","",SUM(Tableau1354828[[#This Row],[Marketing]:[Livraison]]))</f>
        <v/>
      </c>
      <c r="Q39" s="63"/>
      <c r="R39" s="63"/>
      <c r="S39" s="63"/>
      <c r="T39" s="6" t="str">
        <f>IF(Tableau1727[[#This Row],[Libellé de la prestation de services]]="","",SUM(Tableau13455929[[#This Row],[services généraux]:[impôts]]))</f>
        <v/>
      </c>
      <c r="U39" s="9" t="str">
        <f>IF(Tableau1727[[#This Row],[Libellé de la prestation de services]]="","",Tableau1727[[#This Row],[Couts d''achat et d''approvisionnement]]+Tableau1354828[[#This Row],[Coûts de production]]+Tableau13455929[[#This Row],[Coûts de commercialisation et distribution]]+Tableau1345561030[[#This Row],[Coûts administratifs]])</f>
        <v/>
      </c>
      <c r="V39" s="9" t="str">
        <f>IF(Tableau1727[[#This Row],[Libellé de la prestation de services]]="","",Tableau1727[[#This Row],[Montant HT]]-Tableau1354828[[#This Row],[Coûts de production]]-Tableau13455929[[#This Row],[Coûts de commercialisation et distribution]]-Tableau1345561030[[#This Row],[Coûts administratifs]])</f>
        <v/>
      </c>
      <c r="W39" s="10" t="str">
        <f>IF(Tableau1727[[#This Row],[Montant HT]]="","",Tableau134556571131[[#This Row],[Marge nette sur prestation ]]/Tableau1345561030[[#This Row],[Coût de revient unitaire]])</f>
        <v/>
      </c>
      <c r="X39" s="10" t="str">
        <f>IF(Tableau1727[[#This Row],[Montant HT]]="","",Tableau134556571131[[#This Row],[Marge nette sur prestation ]]/Tableau1727[[#This Row],[Montant HT]])</f>
        <v/>
      </c>
    </row>
    <row r="40" spans="1:24" ht="15.75" x14ac:dyDescent="0.25">
      <c r="A40" s="8"/>
      <c r="B40" s="8">
        <f>SUBTOTAL(103,Tableau1727[Libellé de la prestation de services])</f>
        <v>0</v>
      </c>
      <c r="C40" s="7">
        <f>SUBTOTAL(109,Tableau1727[Montant HT])</f>
        <v>0</v>
      </c>
      <c r="D40" s="7">
        <f>SUBTOTAL(109,Tableau1727[Matières premières])</f>
        <v>0</v>
      </c>
      <c r="E40" s="7">
        <f>SUBTOTAL(109,Tableau1727[Marchandises])</f>
        <v>0</v>
      </c>
      <c r="F40" s="7">
        <f>SUBTOTAL(109,Tableau1727[Consommables])</f>
        <v>0</v>
      </c>
      <c r="G40" s="7">
        <f>SUBTOTAL(109,Tableau1727[Frais de livraison liés aux achats])</f>
        <v>0</v>
      </c>
      <c r="H40" s="7">
        <f>SUBTOTAL(109,Tableau1727[Couts d''achat et d''approvisionnement])</f>
        <v>0</v>
      </c>
      <c r="I40" s="7">
        <f>SUBTOTAL(109,Tableau1727[Mains d’œuvre avec charges sociales et patronales,])</f>
        <v>0</v>
      </c>
      <c r="J40" s="7">
        <f>SUBTOTAL(109,Tableau1727[Charges locatives])</f>
        <v>0</v>
      </c>
      <c r="K40" s="7">
        <f>SUBTOTAL(109,Tableau1354828[Coûts de production])</f>
        <v>0</v>
      </c>
      <c r="L40" s="7">
        <f>SUBTOTAL(109,Tableau1354828[Marketing])</f>
        <v>0</v>
      </c>
      <c r="M40" s="7">
        <f>SUBTOTAL(109,Tableau1354828[Prospection])</f>
        <v>0</v>
      </c>
      <c r="N40" s="7">
        <f>SUBTOTAL(109,Tableau1354828[Commerciaux])</f>
        <v>0</v>
      </c>
      <c r="O40" s="7">
        <f>SUBTOTAL(109,Tableau1354828[Livraison])</f>
        <v>0</v>
      </c>
      <c r="P40" s="7">
        <f>SUBTOTAL(109,Tableau13455929[Coûts de commercialisation et distribution])</f>
        <v>0</v>
      </c>
      <c r="Q40" s="7">
        <f>SUBTOTAL(109,Tableau13455929[services généraux])</f>
        <v>0</v>
      </c>
      <c r="R40" s="7">
        <f>SUBTOTAL(109,Tableau13455929[frais divers])</f>
        <v>0</v>
      </c>
      <c r="S40" s="7">
        <f>SUBTOTAL(109,Tableau13455929[impôts])</f>
        <v>0</v>
      </c>
      <c r="T40" s="7">
        <f>SUBTOTAL(109,Tableau1345561030[Coûts administratifs])</f>
        <v>0</v>
      </c>
      <c r="U40" s="7">
        <f>SUBTOTAL(109,Tableau1345561030[Coût de revient unitaire])</f>
        <v>0</v>
      </c>
      <c r="V40" s="7">
        <f>SUBTOTAL(109,Tableau134556571131[[Marge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IF(Tableau1732[[#This Row],[Libellé de la prestation de services]]="","",SUM(Tableau1732[[#This Row],[Matières premières]:[Frais de livraison liés aux achats]]))</f>
        <v/>
      </c>
      <c r="I3" s="63"/>
      <c r="J3" s="63"/>
      <c r="K3" s="6" t="str">
        <f>IF(Tableau1732[[#This Row],[Libellé de la prestation de services]]="","",SUM(Tableau1732[[#This Row],[Mains d’œuvre avec charges sociales et patronales,]:[Charges locatives]]))</f>
        <v/>
      </c>
      <c r="L3" s="64"/>
      <c r="M3" s="64"/>
      <c r="N3" s="64"/>
      <c r="O3" s="64"/>
      <c r="P3" s="6" t="str">
        <f>IF(Tableau1732[[#This Row],[Libellé de la prestation de services]]="","",SUM(Tableau1354833[[#This Row],[Marketing]:[Livraison]]))</f>
        <v/>
      </c>
      <c r="Q3" s="63"/>
      <c r="R3" s="63"/>
      <c r="S3" s="63"/>
      <c r="T3" s="6" t="str">
        <f>IF(Tableau1732[[#This Row],[Libellé de la prestation de services]]="","",SUM(Tableau13455934[[#This Row],[services généraux]:[impôts]]))</f>
        <v/>
      </c>
      <c r="U3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" s="10" t="str">
        <f>IF(Tableau1732[[#This Row],[Montant HT]]="","",Tableau134556571136[[#This Row],[Marge nette sur prestation ]]/Tableau1345561035[[#This Row],[Coût de revient unitaire]])</f>
        <v/>
      </c>
      <c r="X3" s="10" t="str">
        <f>IF(Tableau1732[[#This Row],[Montant HT]]="","",Tableau134556571136[[#This Row],[Marge nette sur prestation ]]/Tableau1732[[#This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IF(Tableau1732[[#This Row],[Libellé de la prestation de services]]="","",SUM(Tableau1732[[#This Row],[Matières premières]:[Frais de livraison liés aux achats]]))</f>
        <v/>
      </c>
      <c r="I4" s="63"/>
      <c r="J4" s="63"/>
      <c r="K4" s="6" t="str">
        <f>IF(Tableau1732[[#This Row],[Libellé de la prestation de services]]="","",SUM(Tableau1732[[#This Row],[Mains d’œuvre avec charges sociales et patronales,]:[Charges locatives]]))</f>
        <v/>
      </c>
      <c r="L4" s="64"/>
      <c r="M4" s="64"/>
      <c r="N4" s="64"/>
      <c r="O4" s="64"/>
      <c r="P4" s="6" t="str">
        <f>IF(Tableau1732[[#This Row],[Libellé de la prestation de services]]="","",SUM(Tableau1354833[[#This Row],[Marketing]:[Livraison]]))</f>
        <v/>
      </c>
      <c r="Q4" s="63"/>
      <c r="R4" s="63"/>
      <c r="S4" s="63"/>
      <c r="T4" s="6" t="str">
        <f>IF(Tableau1732[[#This Row],[Libellé de la prestation de services]]="","",SUM(Tableau13455934[[#This Row],[services généraux]:[impôts]]))</f>
        <v/>
      </c>
      <c r="U4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4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4" s="10" t="str">
        <f>IF(Tableau1732[[#This Row],[Montant HT]]="","",Tableau134556571136[[#This Row],[Marge nette sur prestation ]]/Tableau1345561035[[#This Row],[Coût de revient unitaire]])</f>
        <v/>
      </c>
      <c r="X4" s="10" t="str">
        <f>IF(Tableau1732[[#This Row],[Montant HT]]="","",Tableau134556571136[[#This Row],[Marge nette sur prestation ]]/Tableau1732[[#This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IF(Tableau1732[[#This Row],[Libellé de la prestation de services]]="","",SUM(Tableau1732[[#This Row],[Matières premières]:[Frais de livraison liés aux achats]]))</f>
        <v/>
      </c>
      <c r="I5" s="63"/>
      <c r="J5" s="63"/>
      <c r="K5" s="6" t="str">
        <f>IF(Tableau1732[[#This Row],[Libellé de la prestation de services]]="","",SUM(Tableau1732[[#This Row],[Mains d’œuvre avec charges sociales et patronales,]:[Charges locatives]]))</f>
        <v/>
      </c>
      <c r="L5" s="64"/>
      <c r="M5" s="64"/>
      <c r="N5" s="64"/>
      <c r="O5" s="64"/>
      <c r="P5" s="6" t="str">
        <f>IF(Tableau1732[[#This Row],[Libellé de la prestation de services]]="","",SUM(Tableau1354833[[#This Row],[Marketing]:[Livraison]]))</f>
        <v/>
      </c>
      <c r="Q5" s="63"/>
      <c r="R5" s="63"/>
      <c r="S5" s="63"/>
      <c r="T5" s="6" t="str">
        <f>IF(Tableau1732[[#This Row],[Libellé de la prestation de services]]="","",SUM(Tableau13455934[[#This Row],[services généraux]:[impôts]]))</f>
        <v/>
      </c>
      <c r="U5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5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5" s="10" t="str">
        <f>IF(Tableau1732[[#This Row],[Montant HT]]="","",Tableau134556571136[[#This Row],[Marge nette sur prestation ]]/Tableau1345561035[[#This Row],[Coût de revient unitaire]])</f>
        <v/>
      </c>
      <c r="X5" s="10" t="str">
        <f>IF(Tableau1732[[#This Row],[Montant HT]]="","",Tableau134556571136[[#This Row],[Marge nette sur prestation ]]/Tableau1732[[#This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IF(Tableau1732[[#This Row],[Libellé de la prestation de services]]="","",SUM(Tableau1732[[#This Row],[Matières premières]:[Frais de livraison liés aux achats]]))</f>
        <v/>
      </c>
      <c r="I6" s="63"/>
      <c r="J6" s="63"/>
      <c r="K6" s="6" t="str">
        <f>IF(Tableau1732[[#This Row],[Libellé de la prestation de services]]="","",SUM(Tableau1732[[#This Row],[Mains d’œuvre avec charges sociales et patronales,]:[Charges locatives]]))</f>
        <v/>
      </c>
      <c r="L6" s="64"/>
      <c r="M6" s="64"/>
      <c r="N6" s="64"/>
      <c r="O6" s="64"/>
      <c r="P6" s="6" t="str">
        <f>IF(Tableau1732[[#This Row],[Libellé de la prestation de services]]="","",SUM(Tableau1354833[[#This Row],[Marketing]:[Livraison]]))</f>
        <v/>
      </c>
      <c r="Q6" s="63"/>
      <c r="R6" s="63"/>
      <c r="S6" s="63"/>
      <c r="T6" s="6" t="str">
        <f>IF(Tableau1732[[#This Row],[Libellé de la prestation de services]]="","",SUM(Tableau13455934[[#This Row],[services généraux]:[impôts]]))</f>
        <v/>
      </c>
      <c r="U6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6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6" s="10" t="str">
        <f>IF(Tableau1732[[#This Row],[Montant HT]]="","",Tableau134556571136[[#This Row],[Marge nette sur prestation ]]/Tableau1345561035[[#This Row],[Coût de revient unitaire]])</f>
        <v/>
      </c>
      <c r="X6" s="10" t="str">
        <f>IF(Tableau1732[[#This Row],[Montant HT]]="","",Tableau134556571136[[#This Row],[Marge nette sur prestation ]]/Tableau1732[[#This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IF(Tableau1732[[#This Row],[Libellé de la prestation de services]]="","",SUM(Tableau1732[[#This Row],[Matières premières]:[Frais de livraison liés aux achats]]))</f>
        <v/>
      </c>
      <c r="I7" s="63"/>
      <c r="J7" s="63"/>
      <c r="K7" s="6" t="str">
        <f>IF(Tableau1732[[#This Row],[Libellé de la prestation de services]]="","",SUM(Tableau1732[[#This Row],[Mains d’œuvre avec charges sociales et patronales,]:[Charges locatives]]))</f>
        <v/>
      </c>
      <c r="L7" s="64"/>
      <c r="M7" s="64"/>
      <c r="N7" s="64"/>
      <c r="O7" s="64"/>
      <c r="P7" s="6" t="str">
        <f>IF(Tableau1732[[#This Row],[Libellé de la prestation de services]]="","",SUM(Tableau1354833[[#This Row],[Marketing]:[Livraison]]))</f>
        <v/>
      </c>
      <c r="Q7" s="63"/>
      <c r="R7" s="63"/>
      <c r="S7" s="63"/>
      <c r="T7" s="6" t="str">
        <f>IF(Tableau1732[[#This Row],[Libellé de la prestation de services]]="","",SUM(Tableau13455934[[#This Row],[services généraux]:[impôts]]))</f>
        <v/>
      </c>
      <c r="U7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7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7" s="10" t="str">
        <f>IF(Tableau1732[[#This Row],[Montant HT]]="","",Tableau134556571136[[#This Row],[Marge nette sur prestation ]]/Tableau1345561035[[#This Row],[Coût de revient unitaire]])</f>
        <v/>
      </c>
      <c r="X7" s="10" t="str">
        <f>IF(Tableau1732[[#This Row],[Montant HT]]="","",Tableau134556571136[[#This Row],[Marge nette sur prestation ]]/Tableau1732[[#This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IF(Tableau1732[[#This Row],[Libellé de la prestation de services]]="","",SUM(Tableau1732[[#This Row],[Matières premières]:[Frais de livraison liés aux achats]]))</f>
        <v/>
      </c>
      <c r="I8" s="63"/>
      <c r="J8" s="63"/>
      <c r="K8" s="6" t="str">
        <f>IF(Tableau1732[[#This Row],[Libellé de la prestation de services]]="","",SUM(Tableau1732[[#This Row],[Mains d’œuvre avec charges sociales et patronales,]:[Charges locatives]]))</f>
        <v/>
      </c>
      <c r="L8" s="64"/>
      <c r="M8" s="64"/>
      <c r="N8" s="64"/>
      <c r="O8" s="64"/>
      <c r="P8" s="6" t="str">
        <f>IF(Tableau1732[[#This Row],[Libellé de la prestation de services]]="","",SUM(Tableau1354833[[#This Row],[Marketing]:[Livraison]]))</f>
        <v/>
      </c>
      <c r="Q8" s="63"/>
      <c r="R8" s="63"/>
      <c r="S8" s="63"/>
      <c r="T8" s="6" t="str">
        <f>IF(Tableau1732[[#This Row],[Libellé de la prestation de services]]="","",SUM(Tableau13455934[[#This Row],[services généraux]:[impôts]]))</f>
        <v/>
      </c>
      <c r="U8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8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8" s="10" t="str">
        <f>IF(Tableau1732[[#This Row],[Montant HT]]="","",Tableau134556571136[[#This Row],[Marge nette sur prestation ]]/Tableau1345561035[[#This Row],[Coût de revient unitaire]])</f>
        <v/>
      </c>
      <c r="X8" s="10" t="str">
        <f>IF(Tableau1732[[#This Row],[Montant HT]]="","",Tableau134556571136[[#This Row],[Marge nette sur prestation ]]/Tableau1732[[#This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IF(Tableau1732[[#This Row],[Libellé de la prestation de services]]="","",SUM(Tableau1732[[#This Row],[Matières premières]:[Frais de livraison liés aux achats]]))</f>
        <v/>
      </c>
      <c r="I9" s="63"/>
      <c r="J9" s="63"/>
      <c r="K9" s="6" t="str">
        <f>IF(Tableau1732[[#This Row],[Libellé de la prestation de services]]="","",SUM(Tableau1732[[#This Row],[Mains d’œuvre avec charges sociales et patronales,]:[Charges locatives]]))</f>
        <v/>
      </c>
      <c r="L9" s="64"/>
      <c r="M9" s="64"/>
      <c r="N9" s="64"/>
      <c r="O9" s="64"/>
      <c r="P9" s="6" t="str">
        <f>IF(Tableau1732[[#This Row],[Libellé de la prestation de services]]="","",SUM(Tableau1354833[[#This Row],[Marketing]:[Livraison]]))</f>
        <v/>
      </c>
      <c r="Q9" s="63"/>
      <c r="R9" s="63"/>
      <c r="S9" s="63"/>
      <c r="T9" s="6" t="str">
        <f>IF(Tableau1732[[#This Row],[Libellé de la prestation de services]]="","",SUM(Tableau13455934[[#This Row],[services généraux]:[impôts]]))</f>
        <v/>
      </c>
      <c r="U9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9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9" s="10" t="str">
        <f>IF(Tableau1732[[#This Row],[Montant HT]]="","",Tableau134556571136[[#This Row],[Marge nette sur prestation ]]/Tableau1345561035[[#This Row],[Coût de revient unitaire]])</f>
        <v/>
      </c>
      <c r="X9" s="10" t="str">
        <f>IF(Tableau1732[[#This Row],[Montant HT]]="","",Tableau134556571136[[#This Row],[Marge nette sur prestation ]]/Tableau1732[[#This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IF(Tableau1732[[#This Row],[Libellé de la prestation de services]]="","",SUM(Tableau1732[[#This Row],[Matières premières]:[Frais de livraison liés aux achats]]))</f>
        <v/>
      </c>
      <c r="I10" s="63"/>
      <c r="J10" s="63"/>
      <c r="K10" s="6" t="str">
        <f>IF(Tableau1732[[#This Row],[Libellé de la prestation de services]]="","",SUM(Tableau1732[[#This Row],[Mains d’œuvre avec charges sociales et patronales,]:[Charges locatives]]))</f>
        <v/>
      </c>
      <c r="L10" s="64"/>
      <c r="M10" s="64"/>
      <c r="N10" s="64"/>
      <c r="O10" s="64"/>
      <c r="P10" s="6" t="str">
        <f>IF(Tableau1732[[#This Row],[Libellé de la prestation de services]]="","",SUM(Tableau1354833[[#This Row],[Marketing]:[Livraison]]))</f>
        <v/>
      </c>
      <c r="Q10" s="63"/>
      <c r="R10" s="63"/>
      <c r="S10" s="63"/>
      <c r="T10" s="6" t="str">
        <f>IF(Tableau1732[[#This Row],[Libellé de la prestation de services]]="","",SUM(Tableau13455934[[#This Row],[services généraux]:[impôts]]))</f>
        <v/>
      </c>
      <c r="U10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0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0" s="10" t="str">
        <f>IF(Tableau1732[[#This Row],[Montant HT]]="","",Tableau134556571136[[#This Row],[Marge nette sur prestation ]]/Tableau1345561035[[#This Row],[Coût de revient unitaire]])</f>
        <v/>
      </c>
      <c r="X10" s="10" t="str">
        <f>IF(Tableau1732[[#This Row],[Montant HT]]="","",Tableau134556571136[[#This Row],[Marge nette sur prestation ]]/Tableau1732[[#This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IF(Tableau1732[[#This Row],[Libellé de la prestation de services]]="","",SUM(Tableau1732[[#This Row],[Matières premières]:[Frais de livraison liés aux achats]]))</f>
        <v/>
      </c>
      <c r="I11" s="63"/>
      <c r="J11" s="63"/>
      <c r="K11" s="6" t="str">
        <f>IF(Tableau1732[[#This Row],[Libellé de la prestation de services]]="","",SUM(Tableau1732[[#This Row],[Mains d’œuvre avec charges sociales et patronales,]:[Charges locatives]]))</f>
        <v/>
      </c>
      <c r="L11" s="64"/>
      <c r="M11" s="64"/>
      <c r="N11" s="64"/>
      <c r="O11" s="64"/>
      <c r="P11" s="6" t="str">
        <f>IF(Tableau1732[[#This Row],[Libellé de la prestation de services]]="","",SUM(Tableau1354833[[#This Row],[Marketing]:[Livraison]]))</f>
        <v/>
      </c>
      <c r="Q11" s="63"/>
      <c r="R11" s="63"/>
      <c r="S11" s="63"/>
      <c r="T11" s="6" t="str">
        <f>IF(Tableau1732[[#This Row],[Libellé de la prestation de services]]="","",SUM(Tableau13455934[[#This Row],[services généraux]:[impôts]]))</f>
        <v/>
      </c>
      <c r="U11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1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1" s="10" t="str">
        <f>IF(Tableau1732[[#This Row],[Montant HT]]="","",Tableau134556571136[[#This Row],[Marge nette sur prestation ]]/Tableau1345561035[[#This Row],[Coût de revient unitaire]])</f>
        <v/>
      </c>
      <c r="X11" s="10" t="str">
        <f>IF(Tableau1732[[#This Row],[Montant HT]]="","",Tableau134556571136[[#This Row],[Marge nette sur prestation ]]/Tableau1732[[#This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IF(Tableau1732[[#This Row],[Libellé de la prestation de services]]="","",SUM(Tableau1732[[#This Row],[Matières premières]:[Frais de livraison liés aux achats]]))</f>
        <v/>
      </c>
      <c r="I12" s="63"/>
      <c r="J12" s="63"/>
      <c r="K12" s="6" t="str">
        <f>IF(Tableau1732[[#This Row],[Libellé de la prestation de services]]="","",SUM(Tableau1732[[#This Row],[Mains d’œuvre avec charges sociales et patronales,]:[Charges locatives]]))</f>
        <v/>
      </c>
      <c r="L12" s="64"/>
      <c r="M12" s="64"/>
      <c r="N12" s="64"/>
      <c r="O12" s="64"/>
      <c r="P12" s="6" t="str">
        <f>IF(Tableau1732[[#This Row],[Libellé de la prestation de services]]="","",SUM(Tableau1354833[[#This Row],[Marketing]:[Livraison]]))</f>
        <v/>
      </c>
      <c r="Q12" s="63"/>
      <c r="R12" s="63"/>
      <c r="S12" s="63"/>
      <c r="T12" s="6" t="str">
        <f>IF(Tableau1732[[#This Row],[Libellé de la prestation de services]]="","",SUM(Tableau13455934[[#This Row],[services généraux]:[impôts]]))</f>
        <v/>
      </c>
      <c r="U12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2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2" s="10" t="str">
        <f>IF(Tableau1732[[#This Row],[Montant HT]]="","",Tableau134556571136[[#This Row],[Marge nette sur prestation ]]/Tableau1345561035[[#This Row],[Coût de revient unitaire]])</f>
        <v/>
      </c>
      <c r="X12" s="10" t="str">
        <f>IF(Tableau1732[[#This Row],[Montant HT]]="","",Tableau134556571136[[#This Row],[Marge nette sur prestation ]]/Tableau1732[[#This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IF(Tableau1732[[#This Row],[Libellé de la prestation de services]]="","",SUM(Tableau1732[[#This Row],[Matières premières]:[Frais de livraison liés aux achats]]))</f>
        <v/>
      </c>
      <c r="I13" s="63"/>
      <c r="J13" s="63"/>
      <c r="K13" s="6" t="str">
        <f>IF(Tableau1732[[#This Row],[Libellé de la prestation de services]]="","",SUM(Tableau1732[[#This Row],[Mains d’œuvre avec charges sociales et patronales,]:[Charges locatives]]))</f>
        <v/>
      </c>
      <c r="L13" s="64"/>
      <c r="M13" s="64"/>
      <c r="N13" s="64"/>
      <c r="O13" s="64"/>
      <c r="P13" s="6" t="str">
        <f>IF(Tableau1732[[#This Row],[Libellé de la prestation de services]]="","",SUM(Tableau1354833[[#This Row],[Marketing]:[Livraison]]))</f>
        <v/>
      </c>
      <c r="Q13" s="63"/>
      <c r="R13" s="63"/>
      <c r="S13" s="63"/>
      <c r="T13" s="6" t="str">
        <f>IF(Tableau1732[[#This Row],[Libellé de la prestation de services]]="","",SUM(Tableau13455934[[#This Row],[services généraux]:[impôts]]))</f>
        <v/>
      </c>
      <c r="U13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3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3" s="10" t="str">
        <f>IF(Tableau1732[[#This Row],[Montant HT]]="","",Tableau134556571136[[#This Row],[Marge nette sur prestation ]]/Tableau1345561035[[#This Row],[Coût de revient unitaire]])</f>
        <v/>
      </c>
      <c r="X13" s="10" t="str">
        <f>IF(Tableau1732[[#This Row],[Montant HT]]="","",Tableau134556571136[[#This Row],[Marge nette sur prestation ]]/Tableau1732[[#This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IF(Tableau1732[[#This Row],[Libellé de la prestation de services]]="","",SUM(Tableau1732[[#This Row],[Matières premières]:[Frais de livraison liés aux achats]]))</f>
        <v/>
      </c>
      <c r="I14" s="63"/>
      <c r="J14" s="63"/>
      <c r="K14" s="6" t="str">
        <f>IF(Tableau1732[[#This Row],[Libellé de la prestation de services]]="","",SUM(Tableau1732[[#This Row],[Mains d’œuvre avec charges sociales et patronales,]:[Charges locatives]]))</f>
        <v/>
      </c>
      <c r="L14" s="64"/>
      <c r="M14" s="64"/>
      <c r="N14" s="64"/>
      <c r="O14" s="64"/>
      <c r="P14" s="6" t="str">
        <f>IF(Tableau1732[[#This Row],[Libellé de la prestation de services]]="","",SUM(Tableau1354833[[#This Row],[Marketing]:[Livraison]]))</f>
        <v/>
      </c>
      <c r="Q14" s="63"/>
      <c r="R14" s="63"/>
      <c r="S14" s="63"/>
      <c r="T14" s="6" t="str">
        <f>IF(Tableau1732[[#This Row],[Libellé de la prestation de services]]="","",SUM(Tableau13455934[[#This Row],[services généraux]:[impôts]]))</f>
        <v/>
      </c>
      <c r="U14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4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4" s="10" t="str">
        <f>IF(Tableau1732[[#This Row],[Montant HT]]="","",Tableau134556571136[[#This Row],[Marge nette sur prestation ]]/Tableau1345561035[[#This Row],[Coût de revient unitaire]])</f>
        <v/>
      </c>
      <c r="X14" s="10" t="str">
        <f>IF(Tableau1732[[#This Row],[Montant HT]]="","",Tableau134556571136[[#This Row],[Marge nette sur prestation ]]/Tableau1732[[#This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IF(Tableau1732[[#This Row],[Libellé de la prestation de services]]="","",SUM(Tableau1732[[#This Row],[Matières premières]:[Frais de livraison liés aux achats]]))</f>
        <v/>
      </c>
      <c r="I15" s="63"/>
      <c r="J15" s="63"/>
      <c r="K15" s="6" t="str">
        <f>IF(Tableau1732[[#This Row],[Libellé de la prestation de services]]="","",SUM(Tableau1732[[#This Row],[Mains d’œuvre avec charges sociales et patronales,]:[Charges locatives]]))</f>
        <v/>
      </c>
      <c r="L15" s="64"/>
      <c r="M15" s="64"/>
      <c r="N15" s="64"/>
      <c r="O15" s="64"/>
      <c r="P15" s="6" t="str">
        <f>IF(Tableau1732[[#This Row],[Libellé de la prestation de services]]="","",SUM(Tableau1354833[[#This Row],[Marketing]:[Livraison]]))</f>
        <v/>
      </c>
      <c r="Q15" s="63"/>
      <c r="R15" s="63"/>
      <c r="S15" s="63"/>
      <c r="T15" s="6" t="str">
        <f>IF(Tableau1732[[#This Row],[Libellé de la prestation de services]]="","",SUM(Tableau13455934[[#This Row],[services généraux]:[impôts]]))</f>
        <v/>
      </c>
      <c r="U15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5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5" s="10" t="str">
        <f>IF(Tableau1732[[#This Row],[Montant HT]]="","",Tableau134556571136[[#This Row],[Marge nette sur prestation ]]/Tableau1345561035[[#This Row],[Coût de revient unitaire]])</f>
        <v/>
      </c>
      <c r="X15" s="10" t="str">
        <f>IF(Tableau1732[[#This Row],[Montant HT]]="","",Tableau134556571136[[#This Row],[Marge nette sur prestation ]]/Tableau1732[[#This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IF(Tableau1732[[#This Row],[Libellé de la prestation de services]]="","",SUM(Tableau1732[[#This Row],[Matières premières]:[Frais de livraison liés aux achats]]))</f>
        <v/>
      </c>
      <c r="I16" s="63"/>
      <c r="J16" s="63"/>
      <c r="K16" s="6" t="str">
        <f>IF(Tableau1732[[#This Row],[Libellé de la prestation de services]]="","",SUM(Tableau1732[[#This Row],[Mains d’œuvre avec charges sociales et patronales,]:[Charges locatives]]))</f>
        <v/>
      </c>
      <c r="L16" s="64"/>
      <c r="M16" s="64"/>
      <c r="N16" s="64"/>
      <c r="O16" s="64"/>
      <c r="P16" s="6" t="str">
        <f>IF(Tableau1732[[#This Row],[Libellé de la prestation de services]]="","",SUM(Tableau1354833[[#This Row],[Marketing]:[Livraison]]))</f>
        <v/>
      </c>
      <c r="Q16" s="63"/>
      <c r="R16" s="63"/>
      <c r="S16" s="63"/>
      <c r="T16" s="6" t="str">
        <f>IF(Tableau1732[[#This Row],[Libellé de la prestation de services]]="","",SUM(Tableau13455934[[#This Row],[services généraux]:[impôts]]))</f>
        <v/>
      </c>
      <c r="U16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6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6" s="10" t="str">
        <f>IF(Tableau1732[[#This Row],[Montant HT]]="","",Tableau134556571136[[#This Row],[Marge nette sur prestation ]]/Tableau1345561035[[#This Row],[Coût de revient unitaire]])</f>
        <v/>
      </c>
      <c r="X16" s="10" t="str">
        <f>IF(Tableau1732[[#This Row],[Montant HT]]="","",Tableau134556571136[[#This Row],[Marge nette sur prestation ]]/Tableau1732[[#This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IF(Tableau1732[[#This Row],[Libellé de la prestation de services]]="","",SUM(Tableau1732[[#This Row],[Matières premières]:[Frais de livraison liés aux achats]]))</f>
        <v/>
      </c>
      <c r="I17" s="63"/>
      <c r="J17" s="63"/>
      <c r="K17" s="6" t="str">
        <f>IF(Tableau1732[[#This Row],[Libellé de la prestation de services]]="","",SUM(Tableau1732[[#This Row],[Mains d’œuvre avec charges sociales et patronales,]:[Charges locatives]]))</f>
        <v/>
      </c>
      <c r="L17" s="64"/>
      <c r="M17" s="64"/>
      <c r="N17" s="64"/>
      <c r="O17" s="64"/>
      <c r="P17" s="6" t="str">
        <f>IF(Tableau1732[[#This Row],[Libellé de la prestation de services]]="","",SUM(Tableau1354833[[#This Row],[Marketing]:[Livraison]]))</f>
        <v/>
      </c>
      <c r="Q17" s="63"/>
      <c r="R17" s="63"/>
      <c r="S17" s="63"/>
      <c r="T17" s="6" t="str">
        <f>IF(Tableau1732[[#This Row],[Libellé de la prestation de services]]="","",SUM(Tableau13455934[[#This Row],[services généraux]:[impôts]]))</f>
        <v/>
      </c>
      <c r="U17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7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7" s="10" t="str">
        <f>IF(Tableau1732[[#This Row],[Montant HT]]="","",Tableau134556571136[[#This Row],[Marge nette sur prestation ]]/Tableau1345561035[[#This Row],[Coût de revient unitaire]])</f>
        <v/>
      </c>
      <c r="X17" s="10" t="str">
        <f>IF(Tableau1732[[#This Row],[Montant HT]]="","",Tableau134556571136[[#This Row],[Marge nette sur prestation ]]/Tableau1732[[#This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IF(Tableau1732[[#This Row],[Libellé de la prestation de services]]="","",SUM(Tableau1732[[#This Row],[Matières premières]:[Frais de livraison liés aux achats]]))</f>
        <v/>
      </c>
      <c r="I18" s="63"/>
      <c r="J18" s="63"/>
      <c r="K18" s="6" t="str">
        <f>IF(Tableau1732[[#This Row],[Libellé de la prestation de services]]="","",SUM(Tableau1732[[#This Row],[Mains d’œuvre avec charges sociales et patronales,]:[Charges locatives]]))</f>
        <v/>
      </c>
      <c r="L18" s="64"/>
      <c r="M18" s="64"/>
      <c r="N18" s="64"/>
      <c r="O18" s="64"/>
      <c r="P18" s="6" t="str">
        <f>IF(Tableau1732[[#This Row],[Libellé de la prestation de services]]="","",SUM(Tableau1354833[[#This Row],[Marketing]:[Livraison]]))</f>
        <v/>
      </c>
      <c r="Q18" s="63"/>
      <c r="R18" s="63"/>
      <c r="S18" s="63"/>
      <c r="T18" s="6" t="str">
        <f>IF(Tableau1732[[#This Row],[Libellé de la prestation de services]]="","",SUM(Tableau13455934[[#This Row],[services généraux]:[impôts]]))</f>
        <v/>
      </c>
      <c r="U18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8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8" s="10" t="str">
        <f>IF(Tableau1732[[#This Row],[Montant HT]]="","",Tableau134556571136[[#This Row],[Marge nette sur prestation ]]/Tableau1345561035[[#This Row],[Coût de revient unitaire]])</f>
        <v/>
      </c>
      <c r="X18" s="10" t="str">
        <f>IF(Tableau1732[[#This Row],[Montant HT]]="","",Tableau134556571136[[#This Row],[Marge nette sur prestation ]]/Tableau1732[[#This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IF(Tableau1732[[#This Row],[Libellé de la prestation de services]]="","",SUM(Tableau1732[[#This Row],[Matières premières]:[Frais de livraison liés aux achats]]))</f>
        <v/>
      </c>
      <c r="I19" s="63"/>
      <c r="J19" s="63"/>
      <c r="K19" s="6" t="str">
        <f>IF(Tableau1732[[#This Row],[Libellé de la prestation de services]]="","",SUM(Tableau1732[[#This Row],[Mains d’œuvre avec charges sociales et patronales,]:[Charges locatives]]))</f>
        <v/>
      </c>
      <c r="L19" s="64"/>
      <c r="M19" s="64"/>
      <c r="N19" s="64"/>
      <c r="O19" s="64"/>
      <c r="P19" s="6" t="str">
        <f>IF(Tableau1732[[#This Row],[Libellé de la prestation de services]]="","",SUM(Tableau1354833[[#This Row],[Marketing]:[Livraison]]))</f>
        <v/>
      </c>
      <c r="Q19" s="63"/>
      <c r="R19" s="63"/>
      <c r="S19" s="63"/>
      <c r="T19" s="6" t="str">
        <f>IF(Tableau1732[[#This Row],[Libellé de la prestation de services]]="","",SUM(Tableau13455934[[#This Row],[services généraux]:[impôts]]))</f>
        <v/>
      </c>
      <c r="U19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19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19" s="10" t="str">
        <f>IF(Tableau1732[[#This Row],[Montant HT]]="","",Tableau134556571136[[#This Row],[Marge nette sur prestation ]]/Tableau1345561035[[#This Row],[Coût de revient unitaire]])</f>
        <v/>
      </c>
      <c r="X19" s="10" t="str">
        <f>IF(Tableau1732[[#This Row],[Montant HT]]="","",Tableau134556571136[[#This Row],[Marge nette sur prestation ]]/Tableau1732[[#This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IF(Tableau1732[[#This Row],[Libellé de la prestation de services]]="","",SUM(Tableau1732[[#This Row],[Matières premières]:[Frais de livraison liés aux achats]]))</f>
        <v/>
      </c>
      <c r="I20" s="63"/>
      <c r="J20" s="63"/>
      <c r="K20" s="6" t="str">
        <f>IF(Tableau1732[[#This Row],[Libellé de la prestation de services]]="","",SUM(Tableau1732[[#This Row],[Mains d’œuvre avec charges sociales et patronales,]:[Charges locatives]]))</f>
        <v/>
      </c>
      <c r="L20" s="64"/>
      <c r="M20" s="64"/>
      <c r="N20" s="64"/>
      <c r="O20" s="64"/>
      <c r="P20" s="6" t="str">
        <f>IF(Tableau1732[[#This Row],[Libellé de la prestation de services]]="","",SUM(Tableau1354833[[#This Row],[Marketing]:[Livraison]]))</f>
        <v/>
      </c>
      <c r="Q20" s="63"/>
      <c r="R20" s="63"/>
      <c r="S20" s="63"/>
      <c r="T20" s="6" t="str">
        <f>IF(Tableau1732[[#This Row],[Libellé de la prestation de services]]="","",SUM(Tableau13455934[[#This Row],[services généraux]:[impôts]]))</f>
        <v/>
      </c>
      <c r="U20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0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0" s="10" t="str">
        <f>IF(Tableau1732[[#This Row],[Montant HT]]="","",Tableau134556571136[[#This Row],[Marge nette sur prestation ]]/Tableau1345561035[[#This Row],[Coût de revient unitaire]])</f>
        <v/>
      </c>
      <c r="X20" s="10" t="str">
        <f>IF(Tableau1732[[#This Row],[Montant HT]]="","",Tableau134556571136[[#This Row],[Marge nette sur prestation ]]/Tableau1732[[#This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IF(Tableau1732[[#This Row],[Libellé de la prestation de services]]="","",SUM(Tableau1732[[#This Row],[Matières premières]:[Frais de livraison liés aux achats]]))</f>
        <v/>
      </c>
      <c r="I21" s="63"/>
      <c r="J21" s="63"/>
      <c r="K21" s="6" t="str">
        <f>IF(Tableau1732[[#This Row],[Libellé de la prestation de services]]="","",SUM(Tableau1732[[#This Row],[Mains d’œuvre avec charges sociales et patronales,]:[Charges locatives]]))</f>
        <v/>
      </c>
      <c r="L21" s="64"/>
      <c r="M21" s="64"/>
      <c r="N21" s="64"/>
      <c r="O21" s="64"/>
      <c r="P21" s="6" t="str">
        <f>IF(Tableau1732[[#This Row],[Libellé de la prestation de services]]="","",SUM(Tableau1354833[[#This Row],[Marketing]:[Livraison]]))</f>
        <v/>
      </c>
      <c r="Q21" s="63"/>
      <c r="R21" s="63"/>
      <c r="S21" s="63"/>
      <c r="T21" s="6" t="str">
        <f>IF(Tableau1732[[#This Row],[Libellé de la prestation de services]]="","",SUM(Tableau13455934[[#This Row],[services généraux]:[impôts]]))</f>
        <v/>
      </c>
      <c r="U21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1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1" s="10" t="str">
        <f>IF(Tableau1732[[#This Row],[Montant HT]]="","",Tableau134556571136[[#This Row],[Marge nette sur prestation ]]/Tableau1345561035[[#This Row],[Coût de revient unitaire]])</f>
        <v/>
      </c>
      <c r="X21" s="10" t="str">
        <f>IF(Tableau1732[[#This Row],[Montant HT]]="","",Tableau134556571136[[#This Row],[Marge nette sur prestation ]]/Tableau1732[[#This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IF(Tableau1732[[#This Row],[Libellé de la prestation de services]]="","",SUM(Tableau1732[[#This Row],[Matières premières]:[Frais de livraison liés aux achats]]))</f>
        <v/>
      </c>
      <c r="I22" s="63"/>
      <c r="J22" s="63"/>
      <c r="K22" s="6" t="str">
        <f>IF(Tableau1732[[#This Row],[Libellé de la prestation de services]]="","",SUM(Tableau1732[[#This Row],[Mains d’œuvre avec charges sociales et patronales,]:[Charges locatives]]))</f>
        <v/>
      </c>
      <c r="L22" s="64"/>
      <c r="M22" s="64"/>
      <c r="N22" s="64"/>
      <c r="O22" s="64"/>
      <c r="P22" s="6" t="str">
        <f>IF(Tableau1732[[#This Row],[Libellé de la prestation de services]]="","",SUM(Tableau1354833[[#This Row],[Marketing]:[Livraison]]))</f>
        <v/>
      </c>
      <c r="Q22" s="63"/>
      <c r="R22" s="63"/>
      <c r="S22" s="63"/>
      <c r="T22" s="6" t="str">
        <f>IF(Tableau1732[[#This Row],[Libellé de la prestation de services]]="","",SUM(Tableau13455934[[#This Row],[services généraux]:[impôts]]))</f>
        <v/>
      </c>
      <c r="U22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2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2" s="10" t="str">
        <f>IF(Tableau1732[[#This Row],[Montant HT]]="","",Tableau134556571136[[#This Row],[Marge nette sur prestation ]]/Tableau1345561035[[#This Row],[Coût de revient unitaire]])</f>
        <v/>
      </c>
      <c r="X22" s="10" t="str">
        <f>IF(Tableau1732[[#This Row],[Montant HT]]="","",Tableau134556571136[[#This Row],[Marge nette sur prestation ]]/Tableau1732[[#This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IF(Tableau1732[[#This Row],[Libellé de la prestation de services]]="","",SUM(Tableau1732[[#This Row],[Matières premières]:[Frais de livraison liés aux achats]]))</f>
        <v/>
      </c>
      <c r="I23" s="63"/>
      <c r="J23" s="63"/>
      <c r="K23" s="6" t="str">
        <f>IF(Tableau1732[[#This Row],[Libellé de la prestation de services]]="","",SUM(Tableau1732[[#This Row],[Mains d’œuvre avec charges sociales et patronales,]:[Charges locatives]]))</f>
        <v/>
      </c>
      <c r="L23" s="64"/>
      <c r="M23" s="64"/>
      <c r="N23" s="64"/>
      <c r="O23" s="64"/>
      <c r="P23" s="6" t="str">
        <f>IF(Tableau1732[[#This Row],[Libellé de la prestation de services]]="","",SUM(Tableau1354833[[#This Row],[Marketing]:[Livraison]]))</f>
        <v/>
      </c>
      <c r="Q23" s="63"/>
      <c r="R23" s="63"/>
      <c r="S23" s="63"/>
      <c r="T23" s="6" t="str">
        <f>IF(Tableau1732[[#This Row],[Libellé de la prestation de services]]="","",SUM(Tableau13455934[[#This Row],[services généraux]:[impôts]]))</f>
        <v/>
      </c>
      <c r="U23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3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3" s="10" t="str">
        <f>IF(Tableau1732[[#This Row],[Montant HT]]="","",Tableau134556571136[[#This Row],[Marge nette sur prestation ]]/Tableau1345561035[[#This Row],[Coût de revient unitaire]])</f>
        <v/>
      </c>
      <c r="X23" s="10" t="str">
        <f>IF(Tableau1732[[#This Row],[Montant HT]]="","",Tableau134556571136[[#This Row],[Marge nette sur prestation ]]/Tableau1732[[#This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IF(Tableau1732[[#This Row],[Libellé de la prestation de services]]="","",SUM(Tableau1732[[#This Row],[Matières premières]:[Frais de livraison liés aux achats]]))</f>
        <v/>
      </c>
      <c r="I24" s="63"/>
      <c r="J24" s="63"/>
      <c r="K24" s="6" t="str">
        <f>IF(Tableau1732[[#This Row],[Libellé de la prestation de services]]="","",SUM(Tableau1732[[#This Row],[Mains d’œuvre avec charges sociales et patronales,]:[Charges locatives]]))</f>
        <v/>
      </c>
      <c r="L24" s="64"/>
      <c r="M24" s="64"/>
      <c r="N24" s="64"/>
      <c r="O24" s="64"/>
      <c r="P24" s="6" t="str">
        <f>IF(Tableau1732[[#This Row],[Libellé de la prestation de services]]="","",SUM(Tableau1354833[[#This Row],[Marketing]:[Livraison]]))</f>
        <v/>
      </c>
      <c r="Q24" s="63"/>
      <c r="R24" s="63"/>
      <c r="S24" s="63"/>
      <c r="T24" s="6" t="str">
        <f>IF(Tableau1732[[#This Row],[Libellé de la prestation de services]]="","",SUM(Tableau13455934[[#This Row],[services généraux]:[impôts]]))</f>
        <v/>
      </c>
      <c r="U24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4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4" s="10" t="str">
        <f>IF(Tableau1732[[#This Row],[Montant HT]]="","",Tableau134556571136[[#This Row],[Marge nette sur prestation ]]/Tableau1345561035[[#This Row],[Coût de revient unitaire]])</f>
        <v/>
      </c>
      <c r="X24" s="10" t="str">
        <f>IF(Tableau1732[[#This Row],[Montant HT]]="","",Tableau134556571136[[#This Row],[Marge nette sur prestation ]]/Tableau1732[[#This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IF(Tableau1732[[#This Row],[Libellé de la prestation de services]]="","",SUM(Tableau1732[[#This Row],[Matières premières]:[Frais de livraison liés aux achats]]))</f>
        <v/>
      </c>
      <c r="I25" s="63"/>
      <c r="J25" s="63"/>
      <c r="K25" s="6" t="str">
        <f>IF(Tableau1732[[#This Row],[Libellé de la prestation de services]]="","",SUM(Tableau1732[[#This Row],[Mains d’œuvre avec charges sociales et patronales,]:[Charges locatives]]))</f>
        <v/>
      </c>
      <c r="L25" s="64"/>
      <c r="M25" s="64"/>
      <c r="N25" s="64"/>
      <c r="O25" s="64"/>
      <c r="P25" s="6" t="str">
        <f>IF(Tableau1732[[#This Row],[Libellé de la prestation de services]]="","",SUM(Tableau1354833[[#This Row],[Marketing]:[Livraison]]))</f>
        <v/>
      </c>
      <c r="Q25" s="63"/>
      <c r="R25" s="63"/>
      <c r="S25" s="63"/>
      <c r="T25" s="6" t="str">
        <f>IF(Tableau1732[[#This Row],[Libellé de la prestation de services]]="","",SUM(Tableau13455934[[#This Row],[services généraux]:[impôts]]))</f>
        <v/>
      </c>
      <c r="U25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5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5" s="10" t="str">
        <f>IF(Tableau1732[[#This Row],[Montant HT]]="","",Tableau134556571136[[#This Row],[Marge nette sur prestation ]]/Tableau1345561035[[#This Row],[Coût de revient unitaire]])</f>
        <v/>
      </c>
      <c r="X25" s="10" t="str">
        <f>IF(Tableau1732[[#This Row],[Montant HT]]="","",Tableau134556571136[[#This Row],[Marge nette sur prestation ]]/Tableau1732[[#This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IF(Tableau1732[[#This Row],[Libellé de la prestation de services]]="","",SUM(Tableau1732[[#This Row],[Matières premières]:[Frais de livraison liés aux achats]]))</f>
        <v/>
      </c>
      <c r="I26" s="63"/>
      <c r="J26" s="63"/>
      <c r="K26" s="6" t="str">
        <f>IF(Tableau1732[[#This Row],[Libellé de la prestation de services]]="","",SUM(Tableau1732[[#This Row],[Mains d’œuvre avec charges sociales et patronales,]:[Charges locatives]]))</f>
        <v/>
      </c>
      <c r="L26" s="64"/>
      <c r="M26" s="64"/>
      <c r="N26" s="64"/>
      <c r="O26" s="64"/>
      <c r="P26" s="6" t="str">
        <f>IF(Tableau1732[[#This Row],[Libellé de la prestation de services]]="","",SUM(Tableau1354833[[#This Row],[Marketing]:[Livraison]]))</f>
        <v/>
      </c>
      <c r="Q26" s="63"/>
      <c r="R26" s="63"/>
      <c r="S26" s="63"/>
      <c r="T26" s="6" t="str">
        <f>IF(Tableau1732[[#This Row],[Libellé de la prestation de services]]="","",SUM(Tableau13455934[[#This Row],[services généraux]:[impôts]]))</f>
        <v/>
      </c>
      <c r="U26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6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6" s="10" t="str">
        <f>IF(Tableau1732[[#This Row],[Montant HT]]="","",Tableau134556571136[[#This Row],[Marge nette sur prestation ]]/Tableau1345561035[[#This Row],[Coût de revient unitaire]])</f>
        <v/>
      </c>
      <c r="X26" s="10" t="str">
        <f>IF(Tableau1732[[#This Row],[Montant HT]]="","",Tableau134556571136[[#This Row],[Marge nette sur prestation ]]/Tableau1732[[#This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IF(Tableau1732[[#This Row],[Libellé de la prestation de services]]="","",SUM(Tableau1732[[#This Row],[Matières premières]:[Frais de livraison liés aux achats]]))</f>
        <v/>
      </c>
      <c r="I27" s="63"/>
      <c r="J27" s="63"/>
      <c r="K27" s="6" t="str">
        <f>IF(Tableau1732[[#This Row],[Libellé de la prestation de services]]="","",SUM(Tableau1732[[#This Row],[Mains d’œuvre avec charges sociales et patronales,]:[Charges locatives]]))</f>
        <v/>
      </c>
      <c r="L27" s="64"/>
      <c r="M27" s="64"/>
      <c r="N27" s="64"/>
      <c r="O27" s="64"/>
      <c r="P27" s="6" t="str">
        <f>IF(Tableau1732[[#This Row],[Libellé de la prestation de services]]="","",SUM(Tableau1354833[[#This Row],[Marketing]:[Livraison]]))</f>
        <v/>
      </c>
      <c r="Q27" s="63"/>
      <c r="R27" s="63"/>
      <c r="S27" s="63"/>
      <c r="T27" s="6" t="str">
        <f>IF(Tableau1732[[#This Row],[Libellé de la prestation de services]]="","",SUM(Tableau13455934[[#This Row],[services généraux]:[impôts]]))</f>
        <v/>
      </c>
      <c r="U27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7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7" s="10" t="str">
        <f>IF(Tableau1732[[#This Row],[Montant HT]]="","",Tableau134556571136[[#This Row],[Marge nette sur prestation ]]/Tableau1345561035[[#This Row],[Coût de revient unitaire]])</f>
        <v/>
      </c>
      <c r="X27" s="10" t="str">
        <f>IF(Tableau1732[[#This Row],[Montant HT]]="","",Tableau134556571136[[#This Row],[Marge nette sur prestation ]]/Tableau1732[[#This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IF(Tableau1732[[#This Row],[Libellé de la prestation de services]]="","",SUM(Tableau1732[[#This Row],[Matières premières]:[Frais de livraison liés aux achats]]))</f>
        <v/>
      </c>
      <c r="I28" s="63"/>
      <c r="J28" s="63"/>
      <c r="K28" s="6" t="str">
        <f>IF(Tableau1732[[#This Row],[Libellé de la prestation de services]]="","",SUM(Tableau1732[[#This Row],[Mains d’œuvre avec charges sociales et patronales,]:[Charges locatives]]))</f>
        <v/>
      </c>
      <c r="L28" s="64"/>
      <c r="M28" s="64"/>
      <c r="N28" s="64"/>
      <c r="O28" s="64"/>
      <c r="P28" s="6" t="str">
        <f>IF(Tableau1732[[#This Row],[Libellé de la prestation de services]]="","",SUM(Tableau1354833[[#This Row],[Marketing]:[Livraison]]))</f>
        <v/>
      </c>
      <c r="Q28" s="63"/>
      <c r="R28" s="63"/>
      <c r="S28" s="63"/>
      <c r="T28" s="6" t="str">
        <f>IF(Tableau1732[[#This Row],[Libellé de la prestation de services]]="","",SUM(Tableau13455934[[#This Row],[services généraux]:[impôts]]))</f>
        <v/>
      </c>
      <c r="U28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8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8" s="10" t="str">
        <f>IF(Tableau1732[[#This Row],[Montant HT]]="","",Tableau134556571136[[#This Row],[Marge nette sur prestation ]]/Tableau1345561035[[#This Row],[Coût de revient unitaire]])</f>
        <v/>
      </c>
      <c r="X28" s="10" t="str">
        <f>IF(Tableau1732[[#This Row],[Montant HT]]="","",Tableau134556571136[[#This Row],[Marge nette sur prestation ]]/Tableau1732[[#This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IF(Tableau1732[[#This Row],[Libellé de la prestation de services]]="","",SUM(Tableau1732[[#This Row],[Matières premières]:[Frais de livraison liés aux achats]]))</f>
        <v/>
      </c>
      <c r="I29" s="63"/>
      <c r="J29" s="63"/>
      <c r="K29" s="6" t="str">
        <f>IF(Tableau1732[[#This Row],[Libellé de la prestation de services]]="","",SUM(Tableau1732[[#This Row],[Mains d’œuvre avec charges sociales et patronales,]:[Charges locatives]]))</f>
        <v/>
      </c>
      <c r="L29" s="64"/>
      <c r="M29" s="64"/>
      <c r="N29" s="64"/>
      <c r="O29" s="64"/>
      <c r="P29" s="6" t="str">
        <f>IF(Tableau1732[[#This Row],[Libellé de la prestation de services]]="","",SUM(Tableau1354833[[#This Row],[Marketing]:[Livraison]]))</f>
        <v/>
      </c>
      <c r="Q29" s="63"/>
      <c r="R29" s="63"/>
      <c r="S29" s="63"/>
      <c r="T29" s="6" t="str">
        <f>IF(Tableau1732[[#This Row],[Libellé de la prestation de services]]="","",SUM(Tableau13455934[[#This Row],[services généraux]:[impôts]]))</f>
        <v/>
      </c>
      <c r="U29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29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29" s="10" t="str">
        <f>IF(Tableau1732[[#This Row],[Montant HT]]="","",Tableau134556571136[[#This Row],[Marge nette sur prestation ]]/Tableau1345561035[[#This Row],[Coût de revient unitaire]])</f>
        <v/>
      </c>
      <c r="X29" s="10" t="str">
        <f>IF(Tableau1732[[#This Row],[Montant HT]]="","",Tableau134556571136[[#This Row],[Marge nette sur prestation ]]/Tableau1732[[#This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IF(Tableau1732[[#This Row],[Libellé de la prestation de services]]="","",SUM(Tableau1732[[#This Row],[Matières premières]:[Frais de livraison liés aux achats]]))</f>
        <v/>
      </c>
      <c r="I30" s="63"/>
      <c r="J30" s="63"/>
      <c r="K30" s="6" t="str">
        <f>IF(Tableau1732[[#This Row],[Libellé de la prestation de services]]="","",SUM(Tableau1732[[#This Row],[Mains d’œuvre avec charges sociales et patronales,]:[Charges locatives]]))</f>
        <v/>
      </c>
      <c r="L30" s="64"/>
      <c r="M30" s="64"/>
      <c r="N30" s="64"/>
      <c r="O30" s="64"/>
      <c r="P30" s="6" t="str">
        <f>IF(Tableau1732[[#This Row],[Libellé de la prestation de services]]="","",SUM(Tableau1354833[[#This Row],[Marketing]:[Livraison]]))</f>
        <v/>
      </c>
      <c r="Q30" s="63"/>
      <c r="R30" s="63"/>
      <c r="S30" s="63"/>
      <c r="T30" s="6" t="str">
        <f>IF(Tableau1732[[#This Row],[Libellé de la prestation de services]]="","",SUM(Tableau13455934[[#This Row],[services généraux]:[impôts]]))</f>
        <v/>
      </c>
      <c r="U30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0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0" s="10" t="str">
        <f>IF(Tableau1732[[#This Row],[Montant HT]]="","",Tableau134556571136[[#This Row],[Marge nette sur prestation ]]/Tableau1345561035[[#This Row],[Coût de revient unitaire]])</f>
        <v/>
      </c>
      <c r="X30" s="10" t="str">
        <f>IF(Tableau1732[[#This Row],[Montant HT]]="","",Tableau134556571136[[#This Row],[Marge nette sur prestation ]]/Tableau1732[[#This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IF(Tableau1732[[#This Row],[Libellé de la prestation de services]]="","",SUM(Tableau1732[[#This Row],[Matières premières]:[Frais de livraison liés aux achats]]))</f>
        <v/>
      </c>
      <c r="I31" s="63"/>
      <c r="J31" s="63"/>
      <c r="K31" s="6" t="str">
        <f>IF(Tableau1732[[#This Row],[Libellé de la prestation de services]]="","",SUM(Tableau1732[[#This Row],[Mains d’œuvre avec charges sociales et patronales,]:[Charges locatives]]))</f>
        <v/>
      </c>
      <c r="L31" s="64"/>
      <c r="M31" s="64"/>
      <c r="N31" s="64"/>
      <c r="O31" s="64"/>
      <c r="P31" s="6" t="str">
        <f>IF(Tableau1732[[#This Row],[Libellé de la prestation de services]]="","",SUM(Tableau1354833[[#This Row],[Marketing]:[Livraison]]))</f>
        <v/>
      </c>
      <c r="Q31" s="63"/>
      <c r="R31" s="63"/>
      <c r="S31" s="63"/>
      <c r="T31" s="6" t="str">
        <f>IF(Tableau1732[[#This Row],[Libellé de la prestation de services]]="","",SUM(Tableau13455934[[#This Row],[services généraux]:[impôts]]))</f>
        <v/>
      </c>
      <c r="U31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1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1" s="10" t="str">
        <f>IF(Tableau1732[[#This Row],[Montant HT]]="","",Tableau134556571136[[#This Row],[Marge nette sur prestation ]]/Tableau1345561035[[#This Row],[Coût de revient unitaire]])</f>
        <v/>
      </c>
      <c r="X31" s="10" t="str">
        <f>IF(Tableau1732[[#This Row],[Montant HT]]="","",Tableau134556571136[[#This Row],[Marge nette sur prestation ]]/Tableau1732[[#This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IF(Tableau1732[[#This Row],[Libellé de la prestation de services]]="","",SUM(Tableau1732[[#This Row],[Matières premières]:[Frais de livraison liés aux achats]]))</f>
        <v/>
      </c>
      <c r="I32" s="63"/>
      <c r="J32" s="63"/>
      <c r="K32" s="6" t="str">
        <f>IF(Tableau1732[[#This Row],[Libellé de la prestation de services]]="","",SUM(Tableau1732[[#This Row],[Mains d’œuvre avec charges sociales et patronales,]:[Charges locatives]]))</f>
        <v/>
      </c>
      <c r="L32" s="64"/>
      <c r="M32" s="64"/>
      <c r="N32" s="64"/>
      <c r="O32" s="64"/>
      <c r="P32" s="6" t="str">
        <f>IF(Tableau1732[[#This Row],[Libellé de la prestation de services]]="","",SUM(Tableau1354833[[#This Row],[Marketing]:[Livraison]]))</f>
        <v/>
      </c>
      <c r="Q32" s="63"/>
      <c r="R32" s="63"/>
      <c r="S32" s="63"/>
      <c r="T32" s="6" t="str">
        <f>IF(Tableau1732[[#This Row],[Libellé de la prestation de services]]="","",SUM(Tableau13455934[[#This Row],[services généraux]:[impôts]]))</f>
        <v/>
      </c>
      <c r="U32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2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2" s="10" t="str">
        <f>IF(Tableau1732[[#This Row],[Montant HT]]="","",Tableau134556571136[[#This Row],[Marge nette sur prestation ]]/Tableau1345561035[[#This Row],[Coût de revient unitaire]])</f>
        <v/>
      </c>
      <c r="X32" s="10" t="str">
        <f>IF(Tableau1732[[#This Row],[Montant HT]]="","",Tableau134556571136[[#This Row],[Marge nette sur prestation ]]/Tableau1732[[#This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IF(Tableau1732[[#This Row],[Libellé de la prestation de services]]="","",SUM(Tableau1732[[#This Row],[Matières premières]:[Frais de livraison liés aux achats]]))</f>
        <v/>
      </c>
      <c r="I33" s="63"/>
      <c r="J33" s="63"/>
      <c r="K33" s="6" t="str">
        <f>IF(Tableau1732[[#This Row],[Libellé de la prestation de services]]="","",SUM(Tableau1732[[#This Row],[Mains d’œuvre avec charges sociales et patronales,]:[Charges locatives]]))</f>
        <v/>
      </c>
      <c r="L33" s="64"/>
      <c r="M33" s="64"/>
      <c r="N33" s="64"/>
      <c r="O33" s="64"/>
      <c r="P33" s="6" t="str">
        <f>IF(Tableau1732[[#This Row],[Libellé de la prestation de services]]="","",SUM(Tableau1354833[[#This Row],[Marketing]:[Livraison]]))</f>
        <v/>
      </c>
      <c r="Q33" s="63"/>
      <c r="R33" s="63"/>
      <c r="S33" s="63"/>
      <c r="T33" s="6" t="str">
        <f>IF(Tableau1732[[#This Row],[Libellé de la prestation de services]]="","",SUM(Tableau13455934[[#This Row],[services généraux]:[impôts]]))</f>
        <v/>
      </c>
      <c r="U33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3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3" s="10" t="str">
        <f>IF(Tableau1732[[#This Row],[Montant HT]]="","",Tableau134556571136[[#This Row],[Marge nette sur prestation ]]/Tableau1345561035[[#This Row],[Coût de revient unitaire]])</f>
        <v/>
      </c>
      <c r="X33" s="10" t="str">
        <f>IF(Tableau1732[[#This Row],[Montant HT]]="","",Tableau134556571136[[#This Row],[Marge nette sur prestation ]]/Tableau1732[[#This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IF(Tableau1732[[#This Row],[Libellé de la prestation de services]]="","",SUM(Tableau1732[[#This Row],[Matières premières]:[Frais de livraison liés aux achats]]))</f>
        <v/>
      </c>
      <c r="I34" s="63"/>
      <c r="J34" s="63"/>
      <c r="K34" s="6" t="str">
        <f>IF(Tableau1732[[#This Row],[Libellé de la prestation de services]]="","",SUM(Tableau1732[[#This Row],[Mains d’œuvre avec charges sociales et patronales,]:[Charges locatives]]))</f>
        <v/>
      </c>
      <c r="L34" s="64"/>
      <c r="M34" s="64"/>
      <c r="N34" s="64"/>
      <c r="O34" s="64"/>
      <c r="P34" s="6" t="str">
        <f>IF(Tableau1732[[#This Row],[Libellé de la prestation de services]]="","",SUM(Tableau1354833[[#This Row],[Marketing]:[Livraison]]))</f>
        <v/>
      </c>
      <c r="Q34" s="63"/>
      <c r="R34" s="63"/>
      <c r="S34" s="63"/>
      <c r="T34" s="6" t="str">
        <f>IF(Tableau1732[[#This Row],[Libellé de la prestation de services]]="","",SUM(Tableau13455934[[#This Row],[services généraux]:[impôts]]))</f>
        <v/>
      </c>
      <c r="U34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4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4" s="10" t="str">
        <f>IF(Tableau1732[[#This Row],[Montant HT]]="","",Tableau134556571136[[#This Row],[Marge nette sur prestation ]]/Tableau1345561035[[#This Row],[Coût de revient unitaire]])</f>
        <v/>
      </c>
      <c r="X34" s="10" t="str">
        <f>IF(Tableau1732[[#This Row],[Montant HT]]="","",Tableau134556571136[[#This Row],[Marge nette sur prestation ]]/Tableau1732[[#This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IF(Tableau1732[[#This Row],[Libellé de la prestation de services]]="","",SUM(Tableau1732[[#This Row],[Matières premières]:[Frais de livraison liés aux achats]]))</f>
        <v/>
      </c>
      <c r="I35" s="63"/>
      <c r="J35" s="63"/>
      <c r="K35" s="6" t="str">
        <f>IF(Tableau1732[[#This Row],[Libellé de la prestation de services]]="","",SUM(Tableau1732[[#This Row],[Mains d’œuvre avec charges sociales et patronales,]:[Charges locatives]]))</f>
        <v/>
      </c>
      <c r="L35" s="64"/>
      <c r="M35" s="64"/>
      <c r="N35" s="64"/>
      <c r="O35" s="64"/>
      <c r="P35" s="6" t="str">
        <f>IF(Tableau1732[[#This Row],[Libellé de la prestation de services]]="","",SUM(Tableau1354833[[#This Row],[Marketing]:[Livraison]]))</f>
        <v/>
      </c>
      <c r="Q35" s="63"/>
      <c r="R35" s="63"/>
      <c r="S35" s="63"/>
      <c r="T35" s="6" t="str">
        <f>IF(Tableau1732[[#This Row],[Libellé de la prestation de services]]="","",SUM(Tableau13455934[[#This Row],[services généraux]:[impôts]]))</f>
        <v/>
      </c>
      <c r="U35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5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5" s="10" t="str">
        <f>IF(Tableau1732[[#This Row],[Montant HT]]="","",Tableau134556571136[[#This Row],[Marge nette sur prestation ]]/Tableau1345561035[[#This Row],[Coût de revient unitaire]])</f>
        <v/>
      </c>
      <c r="X35" s="10" t="str">
        <f>IF(Tableau1732[[#This Row],[Montant HT]]="","",Tableau134556571136[[#This Row],[Marge nette sur prestation ]]/Tableau1732[[#This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IF(Tableau1732[[#This Row],[Libellé de la prestation de services]]="","",SUM(Tableau1732[[#This Row],[Matières premières]:[Frais de livraison liés aux achats]]))</f>
        <v/>
      </c>
      <c r="I36" s="63"/>
      <c r="J36" s="63"/>
      <c r="K36" s="6" t="str">
        <f>IF(Tableau1732[[#This Row],[Libellé de la prestation de services]]="","",SUM(Tableau1732[[#This Row],[Mains d’œuvre avec charges sociales et patronales,]:[Charges locatives]]))</f>
        <v/>
      </c>
      <c r="L36" s="64"/>
      <c r="M36" s="64"/>
      <c r="N36" s="64"/>
      <c r="O36" s="64"/>
      <c r="P36" s="6" t="str">
        <f>IF(Tableau1732[[#This Row],[Libellé de la prestation de services]]="","",SUM(Tableau1354833[[#This Row],[Marketing]:[Livraison]]))</f>
        <v/>
      </c>
      <c r="Q36" s="63"/>
      <c r="R36" s="63"/>
      <c r="S36" s="63"/>
      <c r="T36" s="6" t="str">
        <f>IF(Tableau1732[[#This Row],[Libellé de la prestation de services]]="","",SUM(Tableau13455934[[#This Row],[services généraux]:[impôts]]))</f>
        <v/>
      </c>
      <c r="U36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6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6" s="10" t="str">
        <f>IF(Tableau1732[[#This Row],[Montant HT]]="","",Tableau134556571136[[#This Row],[Marge nette sur prestation ]]/Tableau1345561035[[#This Row],[Coût de revient unitaire]])</f>
        <v/>
      </c>
      <c r="X36" s="10" t="str">
        <f>IF(Tableau1732[[#This Row],[Montant HT]]="","",Tableau134556571136[[#This Row],[Marge nette sur prestation ]]/Tableau1732[[#This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IF(Tableau1732[[#This Row],[Libellé de la prestation de services]]="","",SUM(Tableau1732[[#This Row],[Matières premières]:[Frais de livraison liés aux achats]]))</f>
        <v/>
      </c>
      <c r="I37" s="63"/>
      <c r="J37" s="63"/>
      <c r="K37" s="6" t="str">
        <f>IF(Tableau1732[[#This Row],[Libellé de la prestation de services]]="","",SUM(Tableau1732[[#This Row],[Mains d’œuvre avec charges sociales et patronales,]:[Charges locatives]]))</f>
        <v/>
      </c>
      <c r="L37" s="64"/>
      <c r="M37" s="64"/>
      <c r="N37" s="64"/>
      <c r="O37" s="64"/>
      <c r="P37" s="6" t="str">
        <f>IF(Tableau1732[[#This Row],[Libellé de la prestation de services]]="","",SUM(Tableau1354833[[#This Row],[Marketing]:[Livraison]]))</f>
        <v/>
      </c>
      <c r="Q37" s="63"/>
      <c r="R37" s="63"/>
      <c r="S37" s="63"/>
      <c r="T37" s="6" t="str">
        <f>IF(Tableau1732[[#This Row],[Libellé de la prestation de services]]="","",SUM(Tableau13455934[[#This Row],[services généraux]:[impôts]]))</f>
        <v/>
      </c>
      <c r="U37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7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7" s="10" t="str">
        <f>IF(Tableau1732[[#This Row],[Montant HT]]="","",Tableau134556571136[[#This Row],[Marge nette sur prestation ]]/Tableau1345561035[[#This Row],[Coût de revient unitaire]])</f>
        <v/>
      </c>
      <c r="X37" s="10" t="str">
        <f>IF(Tableau1732[[#This Row],[Montant HT]]="","",Tableau134556571136[[#This Row],[Marge nette sur prestation ]]/Tableau1732[[#This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IF(Tableau1732[[#This Row],[Libellé de la prestation de services]]="","",SUM(Tableau1732[[#This Row],[Matières premières]:[Frais de livraison liés aux achats]]))</f>
        <v/>
      </c>
      <c r="I38" s="63"/>
      <c r="J38" s="63"/>
      <c r="K38" s="6" t="str">
        <f>IF(Tableau1732[[#This Row],[Libellé de la prestation de services]]="","",SUM(Tableau1732[[#This Row],[Mains d’œuvre avec charges sociales et patronales,]:[Charges locatives]]))</f>
        <v/>
      </c>
      <c r="L38" s="64"/>
      <c r="M38" s="64"/>
      <c r="N38" s="64"/>
      <c r="O38" s="64"/>
      <c r="P38" s="6" t="str">
        <f>IF(Tableau1732[[#This Row],[Libellé de la prestation de services]]="","",SUM(Tableau1354833[[#This Row],[Marketing]:[Livraison]]))</f>
        <v/>
      </c>
      <c r="Q38" s="63"/>
      <c r="R38" s="63"/>
      <c r="S38" s="63"/>
      <c r="T38" s="6" t="str">
        <f>IF(Tableau1732[[#This Row],[Libellé de la prestation de services]]="","",SUM(Tableau13455934[[#This Row],[services généraux]:[impôts]]))</f>
        <v/>
      </c>
      <c r="U38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8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8" s="10" t="str">
        <f>IF(Tableau1732[[#This Row],[Montant HT]]="","",Tableau134556571136[[#This Row],[Marge nette sur prestation ]]/Tableau1345561035[[#This Row],[Coût de revient unitaire]])</f>
        <v/>
      </c>
      <c r="X38" s="10" t="str">
        <f>IF(Tableau1732[[#This Row],[Montant HT]]="","",Tableau134556571136[[#This Row],[Marge nette sur prestation ]]/Tableau1732[[#This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IF(Tableau1732[[#This Row],[Libellé de la prestation de services]]="","",SUM(Tableau1732[[#This Row],[Matières premières]:[Frais de livraison liés aux achats]]))</f>
        <v/>
      </c>
      <c r="I39" s="63"/>
      <c r="J39" s="63"/>
      <c r="K39" s="6" t="str">
        <f>IF(Tableau1732[[#This Row],[Libellé de la prestation de services]]="","",SUM(Tableau1732[[#This Row],[Mains d’œuvre avec charges sociales et patronales,]:[Charges locatives]]))</f>
        <v/>
      </c>
      <c r="L39" s="64"/>
      <c r="M39" s="64"/>
      <c r="N39" s="64"/>
      <c r="O39" s="64"/>
      <c r="P39" s="6" t="str">
        <f>IF(Tableau1732[[#This Row],[Libellé de la prestation de services]]="","",SUM(Tableau1354833[[#This Row],[Marketing]:[Livraison]]))</f>
        <v/>
      </c>
      <c r="Q39" s="63"/>
      <c r="R39" s="63"/>
      <c r="S39" s="63"/>
      <c r="T39" s="6" t="str">
        <f>IF(Tableau1732[[#This Row],[Libellé de la prestation de services]]="","",SUM(Tableau13455934[[#This Row],[services généraux]:[impôts]]))</f>
        <v/>
      </c>
      <c r="U39" s="9" t="str">
        <f>IF(Tableau1732[[#This Row],[Libellé de la prestation de services]]="","",Tableau1732[[#This Row],[Couts d''achat et d''approvisionnement]]+Tableau1354833[[#This Row],[Coûts de production]]+Tableau13455934[[#This Row],[Coûts de commercialisation et distribution]]+Tableau1345561035[[#This Row],[Coûts administratifs]])</f>
        <v/>
      </c>
      <c r="V39" s="9" t="str">
        <f>IF(Tableau1732[[#This Row],[Libellé de la prestation de services]]="","",Tableau1732[[#This Row],[Montant HT]]-Tableau1354833[[#This Row],[Coûts de production]]-Tableau13455934[[#This Row],[Coûts de commercialisation et distribution]]-Tableau1345561035[[#This Row],[Coûts administratifs]])</f>
        <v/>
      </c>
      <c r="W39" s="10" t="str">
        <f>IF(Tableau1732[[#This Row],[Montant HT]]="","",Tableau134556571136[[#This Row],[Marge nette sur prestation ]]/Tableau1345561035[[#This Row],[Coût de revient unitaire]])</f>
        <v/>
      </c>
      <c r="X39" s="10" t="str">
        <f>IF(Tableau1732[[#This Row],[Montant HT]]="","",Tableau134556571136[[#This Row],[Marge nette sur prestation ]]/Tableau1732[[#This Row],[Montant HT]])</f>
        <v/>
      </c>
    </row>
    <row r="40" spans="1:24" ht="15.75" x14ac:dyDescent="0.25">
      <c r="A40" s="8"/>
      <c r="B40" s="8">
        <f>SUBTOTAL(103,Tableau1732[Libellé de la prestation de services])</f>
        <v>0</v>
      </c>
      <c r="C40" s="7">
        <f>SUBTOTAL(109,Tableau1732[Montant HT])</f>
        <v>0</v>
      </c>
      <c r="D40" s="7">
        <f>SUBTOTAL(109,Tableau1732[Matières premières])</f>
        <v>0</v>
      </c>
      <c r="E40" s="7">
        <f>SUBTOTAL(109,Tableau1732[Marchandises])</f>
        <v>0</v>
      </c>
      <c r="F40" s="7">
        <f>SUBTOTAL(109,Tableau1732[Consommables])</f>
        <v>0</v>
      </c>
      <c r="G40" s="7">
        <f>SUBTOTAL(109,Tableau1732[Frais de livraison liés aux achats])</f>
        <v>0</v>
      </c>
      <c r="H40" s="7">
        <f>SUBTOTAL(109,Tableau1732[Couts d''achat et d''approvisionnement])</f>
        <v>0</v>
      </c>
      <c r="I40" s="7">
        <f>SUBTOTAL(109,Tableau1732[Mains d’œuvre avec charges sociales et patronales,])</f>
        <v>0</v>
      </c>
      <c r="J40" s="7">
        <f>SUBTOTAL(109,Tableau1732[Charges locatives])</f>
        <v>0</v>
      </c>
      <c r="K40" s="7">
        <f>SUBTOTAL(109,Tableau1354833[Coûts de production])</f>
        <v>0</v>
      </c>
      <c r="L40" s="7">
        <f>SUBTOTAL(109,Tableau1354833[Marketing])</f>
        <v>0</v>
      </c>
      <c r="M40" s="7">
        <f>SUBTOTAL(109,Tableau1354833[Prospection])</f>
        <v>0</v>
      </c>
      <c r="N40" s="7">
        <f>SUBTOTAL(109,Tableau1354833[Commerciaux])</f>
        <v>0</v>
      </c>
      <c r="O40" s="7">
        <f>SUBTOTAL(109,Tableau1354833[Livraison])</f>
        <v>0</v>
      </c>
      <c r="P40" s="7">
        <f>SUBTOTAL(109,Tableau13455934[Coûts de commercialisation et distribution])</f>
        <v>0</v>
      </c>
      <c r="Q40" s="7">
        <f>SUBTOTAL(109,Tableau13455934[services généraux])</f>
        <v>0</v>
      </c>
      <c r="R40" s="7">
        <f>SUBTOTAL(109,Tableau13455934[frais divers])</f>
        <v>0</v>
      </c>
      <c r="S40" s="7">
        <f>SUBTOTAL(109,Tableau13455934[impôts])</f>
        <v>0</v>
      </c>
      <c r="T40" s="7">
        <f>SUBTOTAL(109,Tableau1345561035[Coûts administratifs])</f>
        <v>0</v>
      </c>
      <c r="U40" s="7">
        <f>SUBTOTAL(109,Tableau1345561035[Coût de revient unitaire])</f>
        <v>0</v>
      </c>
      <c r="V40" s="7">
        <f>SUBTOTAL(109,Tableau134556571136[[Marge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IF(Tableau1737[[#This Row],[Libellé de la prestation de services]]="","",SUM(Tableau1737[[#This Row],[Matières premières]:[Frais de livraison liés aux achats]]))</f>
        <v/>
      </c>
      <c r="I3" s="63"/>
      <c r="J3" s="63"/>
      <c r="K3" s="6" t="str">
        <f>IF(Tableau1737[[#This Row],[Libellé de la prestation de services]]="","",SUM(Tableau1737[[#This Row],[Mains d’œuvre avec charges sociales et patronales,]:[Charges locatives]]))</f>
        <v/>
      </c>
      <c r="L3" s="64"/>
      <c r="M3" s="64"/>
      <c r="N3" s="64"/>
      <c r="O3" s="64"/>
      <c r="P3" s="6" t="str">
        <f>IF(Tableau1737[[#This Row],[Libellé de la prestation de services]]="","",SUM(Tableau1354838[[#This Row],[Marketing]:[Livraison]]))</f>
        <v/>
      </c>
      <c r="Q3" s="63"/>
      <c r="R3" s="63"/>
      <c r="S3" s="63"/>
      <c r="T3" s="6" t="str">
        <f>IF(Tableau1737[[#This Row],[Libellé de la prestation de services]]="","",SUM(Tableau13455939[[#This Row],[services généraux]:[impôts]]))</f>
        <v/>
      </c>
      <c r="U3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" s="10" t="str">
        <f>IF(Tableau1737[[#This Row],[Montant HT]]="","",Tableau134556571141[[#This Row],[Marge nette sur prestation ]]/Tableau1345561040[[#This Row],[Coût de revient unitaire]])</f>
        <v/>
      </c>
      <c r="X3" s="10" t="str">
        <f>IF(Tableau1737[[#This Row],[Montant HT]]="","",Tableau134556571141[[#This Row],[Marge nette sur prestation ]]/Tableau1737[[#This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IF(Tableau1737[[#This Row],[Libellé de la prestation de services]]="","",SUM(Tableau1737[[#This Row],[Matières premières]:[Frais de livraison liés aux achats]]))</f>
        <v/>
      </c>
      <c r="I4" s="63"/>
      <c r="J4" s="63"/>
      <c r="K4" s="6" t="str">
        <f>IF(Tableau1737[[#This Row],[Libellé de la prestation de services]]="","",SUM(Tableau1737[[#This Row],[Mains d’œuvre avec charges sociales et patronales,]:[Charges locatives]]))</f>
        <v/>
      </c>
      <c r="L4" s="64"/>
      <c r="M4" s="64"/>
      <c r="N4" s="64"/>
      <c r="O4" s="64"/>
      <c r="P4" s="6" t="str">
        <f>IF(Tableau1737[[#This Row],[Libellé de la prestation de services]]="","",SUM(Tableau1354838[[#This Row],[Marketing]:[Livraison]]))</f>
        <v/>
      </c>
      <c r="Q4" s="63"/>
      <c r="R4" s="63"/>
      <c r="S4" s="63"/>
      <c r="T4" s="6" t="str">
        <f>IF(Tableau1737[[#This Row],[Libellé de la prestation de services]]="","",SUM(Tableau13455939[[#This Row],[services généraux]:[impôts]]))</f>
        <v/>
      </c>
      <c r="U4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4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4" s="10" t="str">
        <f>IF(Tableau1737[[#This Row],[Montant HT]]="","",Tableau134556571141[[#This Row],[Marge nette sur prestation ]]/Tableau1345561040[[#This Row],[Coût de revient unitaire]])</f>
        <v/>
      </c>
      <c r="X4" s="10" t="str">
        <f>IF(Tableau1737[[#This Row],[Montant HT]]="","",Tableau134556571141[[#This Row],[Marge nette sur prestation ]]/Tableau1737[[#This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IF(Tableau1737[[#This Row],[Libellé de la prestation de services]]="","",SUM(Tableau1737[[#This Row],[Matières premières]:[Frais de livraison liés aux achats]]))</f>
        <v/>
      </c>
      <c r="I5" s="63"/>
      <c r="J5" s="63"/>
      <c r="K5" s="6" t="str">
        <f>IF(Tableau1737[[#This Row],[Libellé de la prestation de services]]="","",SUM(Tableau1737[[#This Row],[Mains d’œuvre avec charges sociales et patronales,]:[Charges locatives]]))</f>
        <v/>
      </c>
      <c r="L5" s="64"/>
      <c r="M5" s="64"/>
      <c r="N5" s="64"/>
      <c r="O5" s="64"/>
      <c r="P5" s="6" t="str">
        <f>IF(Tableau1737[[#This Row],[Libellé de la prestation de services]]="","",SUM(Tableau1354838[[#This Row],[Marketing]:[Livraison]]))</f>
        <v/>
      </c>
      <c r="Q5" s="63"/>
      <c r="R5" s="63"/>
      <c r="S5" s="63"/>
      <c r="T5" s="6" t="str">
        <f>IF(Tableau1737[[#This Row],[Libellé de la prestation de services]]="","",SUM(Tableau13455939[[#This Row],[services généraux]:[impôts]]))</f>
        <v/>
      </c>
      <c r="U5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5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5" s="10" t="str">
        <f>IF(Tableau1737[[#This Row],[Montant HT]]="","",Tableau134556571141[[#This Row],[Marge nette sur prestation ]]/Tableau1345561040[[#This Row],[Coût de revient unitaire]])</f>
        <v/>
      </c>
      <c r="X5" s="10" t="str">
        <f>IF(Tableau1737[[#This Row],[Montant HT]]="","",Tableau134556571141[[#This Row],[Marge nette sur prestation ]]/Tableau1737[[#This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IF(Tableau1737[[#This Row],[Libellé de la prestation de services]]="","",SUM(Tableau1737[[#This Row],[Matières premières]:[Frais de livraison liés aux achats]]))</f>
        <v/>
      </c>
      <c r="I6" s="63"/>
      <c r="J6" s="63"/>
      <c r="K6" s="6" t="str">
        <f>IF(Tableau1737[[#This Row],[Libellé de la prestation de services]]="","",SUM(Tableau1737[[#This Row],[Mains d’œuvre avec charges sociales et patronales,]:[Charges locatives]]))</f>
        <v/>
      </c>
      <c r="L6" s="64"/>
      <c r="M6" s="64"/>
      <c r="N6" s="64"/>
      <c r="O6" s="64"/>
      <c r="P6" s="6" t="str">
        <f>IF(Tableau1737[[#This Row],[Libellé de la prestation de services]]="","",SUM(Tableau1354838[[#This Row],[Marketing]:[Livraison]]))</f>
        <v/>
      </c>
      <c r="Q6" s="63"/>
      <c r="R6" s="63"/>
      <c r="S6" s="63"/>
      <c r="T6" s="6" t="str">
        <f>IF(Tableau1737[[#This Row],[Libellé de la prestation de services]]="","",SUM(Tableau13455939[[#This Row],[services généraux]:[impôts]]))</f>
        <v/>
      </c>
      <c r="U6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6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6" s="10" t="str">
        <f>IF(Tableau1737[[#This Row],[Montant HT]]="","",Tableau134556571141[[#This Row],[Marge nette sur prestation ]]/Tableau1345561040[[#This Row],[Coût de revient unitaire]])</f>
        <v/>
      </c>
      <c r="X6" s="10" t="str">
        <f>IF(Tableau1737[[#This Row],[Montant HT]]="","",Tableau134556571141[[#This Row],[Marge nette sur prestation ]]/Tableau1737[[#This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IF(Tableau1737[[#This Row],[Libellé de la prestation de services]]="","",SUM(Tableau1737[[#This Row],[Matières premières]:[Frais de livraison liés aux achats]]))</f>
        <v/>
      </c>
      <c r="I7" s="63"/>
      <c r="J7" s="63"/>
      <c r="K7" s="6" t="str">
        <f>IF(Tableau1737[[#This Row],[Libellé de la prestation de services]]="","",SUM(Tableau1737[[#This Row],[Mains d’œuvre avec charges sociales et patronales,]:[Charges locatives]]))</f>
        <v/>
      </c>
      <c r="L7" s="64"/>
      <c r="M7" s="64"/>
      <c r="N7" s="64"/>
      <c r="O7" s="64"/>
      <c r="P7" s="6" t="str">
        <f>IF(Tableau1737[[#This Row],[Libellé de la prestation de services]]="","",SUM(Tableau1354838[[#This Row],[Marketing]:[Livraison]]))</f>
        <v/>
      </c>
      <c r="Q7" s="63"/>
      <c r="R7" s="63"/>
      <c r="S7" s="63"/>
      <c r="T7" s="6" t="str">
        <f>IF(Tableau1737[[#This Row],[Libellé de la prestation de services]]="","",SUM(Tableau13455939[[#This Row],[services généraux]:[impôts]]))</f>
        <v/>
      </c>
      <c r="U7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7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7" s="10" t="str">
        <f>IF(Tableau1737[[#This Row],[Montant HT]]="","",Tableau134556571141[[#This Row],[Marge nette sur prestation ]]/Tableau1345561040[[#This Row],[Coût de revient unitaire]])</f>
        <v/>
      </c>
      <c r="X7" s="10" t="str">
        <f>IF(Tableau1737[[#This Row],[Montant HT]]="","",Tableau134556571141[[#This Row],[Marge nette sur prestation ]]/Tableau1737[[#This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IF(Tableau1737[[#This Row],[Libellé de la prestation de services]]="","",SUM(Tableau1737[[#This Row],[Matières premières]:[Frais de livraison liés aux achats]]))</f>
        <v/>
      </c>
      <c r="I8" s="63"/>
      <c r="J8" s="63"/>
      <c r="K8" s="6" t="str">
        <f>IF(Tableau1737[[#This Row],[Libellé de la prestation de services]]="","",SUM(Tableau1737[[#This Row],[Mains d’œuvre avec charges sociales et patronales,]:[Charges locatives]]))</f>
        <v/>
      </c>
      <c r="L8" s="64"/>
      <c r="M8" s="64"/>
      <c r="N8" s="64"/>
      <c r="O8" s="64"/>
      <c r="P8" s="6" t="str">
        <f>IF(Tableau1737[[#This Row],[Libellé de la prestation de services]]="","",SUM(Tableau1354838[[#This Row],[Marketing]:[Livraison]]))</f>
        <v/>
      </c>
      <c r="Q8" s="63"/>
      <c r="R8" s="63"/>
      <c r="S8" s="63"/>
      <c r="T8" s="6" t="str">
        <f>IF(Tableau1737[[#This Row],[Libellé de la prestation de services]]="","",SUM(Tableau13455939[[#This Row],[services généraux]:[impôts]]))</f>
        <v/>
      </c>
      <c r="U8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8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8" s="10" t="str">
        <f>IF(Tableau1737[[#This Row],[Montant HT]]="","",Tableau134556571141[[#This Row],[Marge nette sur prestation ]]/Tableau1345561040[[#This Row],[Coût de revient unitaire]])</f>
        <v/>
      </c>
      <c r="X8" s="10" t="str">
        <f>IF(Tableau1737[[#This Row],[Montant HT]]="","",Tableau134556571141[[#This Row],[Marge nette sur prestation ]]/Tableau1737[[#This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IF(Tableau1737[[#This Row],[Libellé de la prestation de services]]="","",SUM(Tableau1737[[#This Row],[Matières premières]:[Frais de livraison liés aux achats]]))</f>
        <v/>
      </c>
      <c r="I9" s="63"/>
      <c r="J9" s="63"/>
      <c r="K9" s="6" t="str">
        <f>IF(Tableau1737[[#This Row],[Libellé de la prestation de services]]="","",SUM(Tableau1737[[#This Row],[Mains d’œuvre avec charges sociales et patronales,]:[Charges locatives]]))</f>
        <v/>
      </c>
      <c r="L9" s="64"/>
      <c r="M9" s="64"/>
      <c r="N9" s="64"/>
      <c r="O9" s="64"/>
      <c r="P9" s="6" t="str">
        <f>IF(Tableau1737[[#This Row],[Libellé de la prestation de services]]="","",SUM(Tableau1354838[[#This Row],[Marketing]:[Livraison]]))</f>
        <v/>
      </c>
      <c r="Q9" s="63"/>
      <c r="R9" s="63"/>
      <c r="S9" s="63"/>
      <c r="T9" s="6" t="str">
        <f>IF(Tableau1737[[#This Row],[Libellé de la prestation de services]]="","",SUM(Tableau13455939[[#This Row],[services généraux]:[impôts]]))</f>
        <v/>
      </c>
      <c r="U9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9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9" s="10" t="str">
        <f>IF(Tableau1737[[#This Row],[Montant HT]]="","",Tableau134556571141[[#This Row],[Marge nette sur prestation ]]/Tableau1345561040[[#This Row],[Coût de revient unitaire]])</f>
        <v/>
      </c>
      <c r="X9" s="10" t="str">
        <f>IF(Tableau1737[[#This Row],[Montant HT]]="","",Tableau134556571141[[#This Row],[Marge nette sur prestation ]]/Tableau1737[[#This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IF(Tableau1737[[#This Row],[Libellé de la prestation de services]]="","",SUM(Tableau1737[[#This Row],[Matières premières]:[Frais de livraison liés aux achats]]))</f>
        <v/>
      </c>
      <c r="I10" s="63"/>
      <c r="J10" s="63"/>
      <c r="K10" s="6" t="str">
        <f>IF(Tableau1737[[#This Row],[Libellé de la prestation de services]]="","",SUM(Tableau1737[[#This Row],[Mains d’œuvre avec charges sociales et patronales,]:[Charges locatives]]))</f>
        <v/>
      </c>
      <c r="L10" s="64"/>
      <c r="M10" s="64"/>
      <c r="N10" s="64"/>
      <c r="O10" s="64"/>
      <c r="P10" s="6" t="str">
        <f>IF(Tableau1737[[#This Row],[Libellé de la prestation de services]]="","",SUM(Tableau1354838[[#This Row],[Marketing]:[Livraison]]))</f>
        <v/>
      </c>
      <c r="Q10" s="63"/>
      <c r="R10" s="63"/>
      <c r="S10" s="63"/>
      <c r="T10" s="6" t="str">
        <f>IF(Tableau1737[[#This Row],[Libellé de la prestation de services]]="","",SUM(Tableau13455939[[#This Row],[services généraux]:[impôts]]))</f>
        <v/>
      </c>
      <c r="U10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0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0" s="10" t="str">
        <f>IF(Tableau1737[[#This Row],[Montant HT]]="","",Tableau134556571141[[#This Row],[Marge nette sur prestation ]]/Tableau1345561040[[#This Row],[Coût de revient unitaire]])</f>
        <v/>
      </c>
      <c r="X10" s="10" t="str">
        <f>IF(Tableau1737[[#This Row],[Montant HT]]="","",Tableau134556571141[[#This Row],[Marge nette sur prestation ]]/Tableau1737[[#This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IF(Tableau1737[[#This Row],[Libellé de la prestation de services]]="","",SUM(Tableau1737[[#This Row],[Matières premières]:[Frais de livraison liés aux achats]]))</f>
        <v/>
      </c>
      <c r="I11" s="63"/>
      <c r="J11" s="63"/>
      <c r="K11" s="6" t="str">
        <f>IF(Tableau1737[[#This Row],[Libellé de la prestation de services]]="","",SUM(Tableau1737[[#This Row],[Mains d’œuvre avec charges sociales et patronales,]:[Charges locatives]]))</f>
        <v/>
      </c>
      <c r="L11" s="64"/>
      <c r="M11" s="64"/>
      <c r="N11" s="64"/>
      <c r="O11" s="64"/>
      <c r="P11" s="6" t="str">
        <f>IF(Tableau1737[[#This Row],[Libellé de la prestation de services]]="","",SUM(Tableau1354838[[#This Row],[Marketing]:[Livraison]]))</f>
        <v/>
      </c>
      <c r="Q11" s="63"/>
      <c r="R11" s="63"/>
      <c r="S11" s="63"/>
      <c r="T11" s="6" t="str">
        <f>IF(Tableau1737[[#This Row],[Libellé de la prestation de services]]="","",SUM(Tableau13455939[[#This Row],[services généraux]:[impôts]]))</f>
        <v/>
      </c>
      <c r="U11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1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1" s="10" t="str">
        <f>IF(Tableau1737[[#This Row],[Montant HT]]="","",Tableau134556571141[[#This Row],[Marge nette sur prestation ]]/Tableau1345561040[[#This Row],[Coût de revient unitaire]])</f>
        <v/>
      </c>
      <c r="X11" s="10" t="str">
        <f>IF(Tableau1737[[#This Row],[Montant HT]]="","",Tableau134556571141[[#This Row],[Marge nette sur prestation ]]/Tableau1737[[#This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IF(Tableau1737[[#This Row],[Libellé de la prestation de services]]="","",SUM(Tableau1737[[#This Row],[Matières premières]:[Frais de livraison liés aux achats]]))</f>
        <v/>
      </c>
      <c r="I12" s="63"/>
      <c r="J12" s="63"/>
      <c r="K12" s="6" t="str">
        <f>IF(Tableau1737[[#This Row],[Libellé de la prestation de services]]="","",SUM(Tableau1737[[#This Row],[Mains d’œuvre avec charges sociales et patronales,]:[Charges locatives]]))</f>
        <v/>
      </c>
      <c r="L12" s="64"/>
      <c r="M12" s="64"/>
      <c r="N12" s="64"/>
      <c r="O12" s="64"/>
      <c r="P12" s="6" t="str">
        <f>IF(Tableau1737[[#This Row],[Libellé de la prestation de services]]="","",SUM(Tableau1354838[[#This Row],[Marketing]:[Livraison]]))</f>
        <v/>
      </c>
      <c r="Q12" s="63"/>
      <c r="R12" s="63"/>
      <c r="S12" s="63"/>
      <c r="T12" s="6" t="str">
        <f>IF(Tableau1737[[#This Row],[Libellé de la prestation de services]]="","",SUM(Tableau13455939[[#This Row],[services généraux]:[impôts]]))</f>
        <v/>
      </c>
      <c r="U12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2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2" s="10" t="str">
        <f>IF(Tableau1737[[#This Row],[Montant HT]]="","",Tableau134556571141[[#This Row],[Marge nette sur prestation ]]/Tableau1345561040[[#This Row],[Coût de revient unitaire]])</f>
        <v/>
      </c>
      <c r="X12" s="10" t="str">
        <f>IF(Tableau1737[[#This Row],[Montant HT]]="","",Tableau134556571141[[#This Row],[Marge nette sur prestation ]]/Tableau1737[[#This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IF(Tableau1737[[#This Row],[Libellé de la prestation de services]]="","",SUM(Tableau1737[[#This Row],[Matières premières]:[Frais de livraison liés aux achats]]))</f>
        <v/>
      </c>
      <c r="I13" s="63"/>
      <c r="J13" s="63"/>
      <c r="K13" s="6" t="str">
        <f>IF(Tableau1737[[#This Row],[Libellé de la prestation de services]]="","",SUM(Tableau1737[[#This Row],[Mains d’œuvre avec charges sociales et patronales,]:[Charges locatives]]))</f>
        <v/>
      </c>
      <c r="L13" s="64"/>
      <c r="M13" s="64"/>
      <c r="N13" s="64"/>
      <c r="O13" s="64"/>
      <c r="P13" s="6" t="str">
        <f>IF(Tableau1737[[#This Row],[Libellé de la prestation de services]]="","",SUM(Tableau1354838[[#This Row],[Marketing]:[Livraison]]))</f>
        <v/>
      </c>
      <c r="Q13" s="63"/>
      <c r="R13" s="63"/>
      <c r="S13" s="63"/>
      <c r="T13" s="6" t="str">
        <f>IF(Tableau1737[[#This Row],[Libellé de la prestation de services]]="","",SUM(Tableau13455939[[#This Row],[services généraux]:[impôts]]))</f>
        <v/>
      </c>
      <c r="U13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3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3" s="10" t="str">
        <f>IF(Tableau1737[[#This Row],[Montant HT]]="","",Tableau134556571141[[#This Row],[Marge nette sur prestation ]]/Tableau1345561040[[#This Row],[Coût de revient unitaire]])</f>
        <v/>
      </c>
      <c r="X13" s="10" t="str">
        <f>IF(Tableau1737[[#This Row],[Montant HT]]="","",Tableau134556571141[[#This Row],[Marge nette sur prestation ]]/Tableau1737[[#This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IF(Tableau1737[[#This Row],[Libellé de la prestation de services]]="","",SUM(Tableau1737[[#This Row],[Matières premières]:[Frais de livraison liés aux achats]]))</f>
        <v/>
      </c>
      <c r="I14" s="63"/>
      <c r="J14" s="63"/>
      <c r="K14" s="6" t="str">
        <f>IF(Tableau1737[[#This Row],[Libellé de la prestation de services]]="","",SUM(Tableau1737[[#This Row],[Mains d’œuvre avec charges sociales et patronales,]:[Charges locatives]]))</f>
        <v/>
      </c>
      <c r="L14" s="64"/>
      <c r="M14" s="64"/>
      <c r="N14" s="64"/>
      <c r="O14" s="64"/>
      <c r="P14" s="6" t="str">
        <f>IF(Tableau1737[[#This Row],[Libellé de la prestation de services]]="","",SUM(Tableau1354838[[#This Row],[Marketing]:[Livraison]]))</f>
        <v/>
      </c>
      <c r="Q14" s="63"/>
      <c r="R14" s="63"/>
      <c r="S14" s="63"/>
      <c r="T14" s="6" t="str">
        <f>IF(Tableau1737[[#This Row],[Libellé de la prestation de services]]="","",SUM(Tableau13455939[[#This Row],[services généraux]:[impôts]]))</f>
        <v/>
      </c>
      <c r="U14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4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4" s="10" t="str">
        <f>IF(Tableau1737[[#This Row],[Montant HT]]="","",Tableau134556571141[[#This Row],[Marge nette sur prestation ]]/Tableau1345561040[[#This Row],[Coût de revient unitaire]])</f>
        <v/>
      </c>
      <c r="X14" s="10" t="str">
        <f>IF(Tableau1737[[#This Row],[Montant HT]]="","",Tableau134556571141[[#This Row],[Marge nette sur prestation ]]/Tableau1737[[#This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IF(Tableau1737[[#This Row],[Libellé de la prestation de services]]="","",SUM(Tableau1737[[#This Row],[Matières premières]:[Frais de livraison liés aux achats]]))</f>
        <v/>
      </c>
      <c r="I15" s="63"/>
      <c r="J15" s="63"/>
      <c r="K15" s="6" t="str">
        <f>IF(Tableau1737[[#This Row],[Libellé de la prestation de services]]="","",SUM(Tableau1737[[#This Row],[Mains d’œuvre avec charges sociales et patronales,]:[Charges locatives]]))</f>
        <v/>
      </c>
      <c r="L15" s="64"/>
      <c r="M15" s="64"/>
      <c r="N15" s="64"/>
      <c r="O15" s="64"/>
      <c r="P15" s="6" t="str">
        <f>IF(Tableau1737[[#This Row],[Libellé de la prestation de services]]="","",SUM(Tableau1354838[[#This Row],[Marketing]:[Livraison]]))</f>
        <v/>
      </c>
      <c r="Q15" s="63"/>
      <c r="R15" s="63"/>
      <c r="S15" s="63"/>
      <c r="T15" s="6" t="str">
        <f>IF(Tableau1737[[#This Row],[Libellé de la prestation de services]]="","",SUM(Tableau13455939[[#This Row],[services généraux]:[impôts]]))</f>
        <v/>
      </c>
      <c r="U15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5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5" s="10" t="str">
        <f>IF(Tableau1737[[#This Row],[Montant HT]]="","",Tableau134556571141[[#This Row],[Marge nette sur prestation ]]/Tableau1345561040[[#This Row],[Coût de revient unitaire]])</f>
        <v/>
      </c>
      <c r="X15" s="10" t="str">
        <f>IF(Tableau1737[[#This Row],[Montant HT]]="","",Tableau134556571141[[#This Row],[Marge nette sur prestation ]]/Tableau1737[[#This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IF(Tableau1737[[#This Row],[Libellé de la prestation de services]]="","",SUM(Tableau1737[[#This Row],[Matières premières]:[Frais de livraison liés aux achats]]))</f>
        <v/>
      </c>
      <c r="I16" s="63"/>
      <c r="J16" s="63"/>
      <c r="K16" s="6" t="str">
        <f>IF(Tableau1737[[#This Row],[Libellé de la prestation de services]]="","",SUM(Tableau1737[[#This Row],[Mains d’œuvre avec charges sociales et patronales,]:[Charges locatives]]))</f>
        <v/>
      </c>
      <c r="L16" s="64"/>
      <c r="M16" s="64"/>
      <c r="N16" s="64"/>
      <c r="O16" s="64"/>
      <c r="P16" s="6" t="str">
        <f>IF(Tableau1737[[#This Row],[Libellé de la prestation de services]]="","",SUM(Tableau1354838[[#This Row],[Marketing]:[Livraison]]))</f>
        <v/>
      </c>
      <c r="Q16" s="63"/>
      <c r="R16" s="63"/>
      <c r="S16" s="63"/>
      <c r="T16" s="6" t="str">
        <f>IF(Tableau1737[[#This Row],[Libellé de la prestation de services]]="","",SUM(Tableau13455939[[#This Row],[services généraux]:[impôts]]))</f>
        <v/>
      </c>
      <c r="U16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6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6" s="10" t="str">
        <f>IF(Tableau1737[[#This Row],[Montant HT]]="","",Tableau134556571141[[#This Row],[Marge nette sur prestation ]]/Tableau1345561040[[#This Row],[Coût de revient unitaire]])</f>
        <v/>
      </c>
      <c r="X16" s="10" t="str">
        <f>IF(Tableau1737[[#This Row],[Montant HT]]="","",Tableau134556571141[[#This Row],[Marge nette sur prestation ]]/Tableau1737[[#This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IF(Tableau1737[[#This Row],[Libellé de la prestation de services]]="","",SUM(Tableau1737[[#This Row],[Matières premières]:[Frais de livraison liés aux achats]]))</f>
        <v/>
      </c>
      <c r="I17" s="63"/>
      <c r="J17" s="63"/>
      <c r="K17" s="6" t="str">
        <f>IF(Tableau1737[[#This Row],[Libellé de la prestation de services]]="","",SUM(Tableau1737[[#This Row],[Mains d’œuvre avec charges sociales et patronales,]:[Charges locatives]]))</f>
        <v/>
      </c>
      <c r="L17" s="64"/>
      <c r="M17" s="64"/>
      <c r="N17" s="64"/>
      <c r="O17" s="64"/>
      <c r="P17" s="6" t="str">
        <f>IF(Tableau1737[[#This Row],[Libellé de la prestation de services]]="","",SUM(Tableau1354838[[#This Row],[Marketing]:[Livraison]]))</f>
        <v/>
      </c>
      <c r="Q17" s="63"/>
      <c r="R17" s="63"/>
      <c r="S17" s="63"/>
      <c r="T17" s="6" t="str">
        <f>IF(Tableau1737[[#This Row],[Libellé de la prestation de services]]="","",SUM(Tableau13455939[[#This Row],[services généraux]:[impôts]]))</f>
        <v/>
      </c>
      <c r="U17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7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7" s="10" t="str">
        <f>IF(Tableau1737[[#This Row],[Montant HT]]="","",Tableau134556571141[[#This Row],[Marge nette sur prestation ]]/Tableau1345561040[[#This Row],[Coût de revient unitaire]])</f>
        <v/>
      </c>
      <c r="X17" s="10" t="str">
        <f>IF(Tableau1737[[#This Row],[Montant HT]]="","",Tableau134556571141[[#This Row],[Marge nette sur prestation ]]/Tableau1737[[#This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IF(Tableau1737[[#This Row],[Libellé de la prestation de services]]="","",SUM(Tableau1737[[#This Row],[Matières premières]:[Frais de livraison liés aux achats]]))</f>
        <v/>
      </c>
      <c r="I18" s="63"/>
      <c r="J18" s="63"/>
      <c r="K18" s="6" t="str">
        <f>IF(Tableau1737[[#This Row],[Libellé de la prestation de services]]="","",SUM(Tableau1737[[#This Row],[Mains d’œuvre avec charges sociales et patronales,]:[Charges locatives]]))</f>
        <v/>
      </c>
      <c r="L18" s="64"/>
      <c r="M18" s="64"/>
      <c r="N18" s="64"/>
      <c r="O18" s="64"/>
      <c r="P18" s="6" t="str">
        <f>IF(Tableau1737[[#This Row],[Libellé de la prestation de services]]="","",SUM(Tableau1354838[[#This Row],[Marketing]:[Livraison]]))</f>
        <v/>
      </c>
      <c r="Q18" s="63"/>
      <c r="R18" s="63"/>
      <c r="S18" s="63"/>
      <c r="T18" s="6" t="str">
        <f>IF(Tableau1737[[#This Row],[Libellé de la prestation de services]]="","",SUM(Tableau13455939[[#This Row],[services généraux]:[impôts]]))</f>
        <v/>
      </c>
      <c r="U18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8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8" s="10" t="str">
        <f>IF(Tableau1737[[#This Row],[Montant HT]]="","",Tableau134556571141[[#This Row],[Marge nette sur prestation ]]/Tableau1345561040[[#This Row],[Coût de revient unitaire]])</f>
        <v/>
      </c>
      <c r="X18" s="10" t="str">
        <f>IF(Tableau1737[[#This Row],[Montant HT]]="","",Tableau134556571141[[#This Row],[Marge nette sur prestation ]]/Tableau1737[[#This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IF(Tableau1737[[#This Row],[Libellé de la prestation de services]]="","",SUM(Tableau1737[[#This Row],[Matières premières]:[Frais de livraison liés aux achats]]))</f>
        <v/>
      </c>
      <c r="I19" s="63"/>
      <c r="J19" s="63"/>
      <c r="K19" s="6" t="str">
        <f>IF(Tableau1737[[#This Row],[Libellé de la prestation de services]]="","",SUM(Tableau1737[[#This Row],[Mains d’œuvre avec charges sociales et patronales,]:[Charges locatives]]))</f>
        <v/>
      </c>
      <c r="L19" s="64"/>
      <c r="M19" s="64"/>
      <c r="N19" s="64"/>
      <c r="O19" s="64"/>
      <c r="P19" s="6" t="str">
        <f>IF(Tableau1737[[#This Row],[Libellé de la prestation de services]]="","",SUM(Tableau1354838[[#This Row],[Marketing]:[Livraison]]))</f>
        <v/>
      </c>
      <c r="Q19" s="63"/>
      <c r="R19" s="63"/>
      <c r="S19" s="63"/>
      <c r="T19" s="6" t="str">
        <f>IF(Tableau1737[[#This Row],[Libellé de la prestation de services]]="","",SUM(Tableau13455939[[#This Row],[services généraux]:[impôts]]))</f>
        <v/>
      </c>
      <c r="U19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19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19" s="10" t="str">
        <f>IF(Tableau1737[[#This Row],[Montant HT]]="","",Tableau134556571141[[#This Row],[Marge nette sur prestation ]]/Tableau1345561040[[#This Row],[Coût de revient unitaire]])</f>
        <v/>
      </c>
      <c r="X19" s="10" t="str">
        <f>IF(Tableau1737[[#This Row],[Montant HT]]="","",Tableau134556571141[[#This Row],[Marge nette sur prestation ]]/Tableau1737[[#This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IF(Tableau1737[[#This Row],[Libellé de la prestation de services]]="","",SUM(Tableau1737[[#This Row],[Matières premières]:[Frais de livraison liés aux achats]]))</f>
        <v/>
      </c>
      <c r="I20" s="63"/>
      <c r="J20" s="63"/>
      <c r="K20" s="6" t="str">
        <f>IF(Tableau1737[[#This Row],[Libellé de la prestation de services]]="","",SUM(Tableau1737[[#This Row],[Mains d’œuvre avec charges sociales et patronales,]:[Charges locatives]]))</f>
        <v/>
      </c>
      <c r="L20" s="64"/>
      <c r="M20" s="64"/>
      <c r="N20" s="64"/>
      <c r="O20" s="64"/>
      <c r="P20" s="6" t="str">
        <f>IF(Tableau1737[[#This Row],[Libellé de la prestation de services]]="","",SUM(Tableau1354838[[#This Row],[Marketing]:[Livraison]]))</f>
        <v/>
      </c>
      <c r="Q20" s="63"/>
      <c r="R20" s="63"/>
      <c r="S20" s="63"/>
      <c r="T20" s="6" t="str">
        <f>IF(Tableau1737[[#This Row],[Libellé de la prestation de services]]="","",SUM(Tableau13455939[[#This Row],[services généraux]:[impôts]]))</f>
        <v/>
      </c>
      <c r="U20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0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0" s="10" t="str">
        <f>IF(Tableau1737[[#This Row],[Montant HT]]="","",Tableau134556571141[[#This Row],[Marge nette sur prestation ]]/Tableau1345561040[[#This Row],[Coût de revient unitaire]])</f>
        <v/>
      </c>
      <c r="X20" s="10" t="str">
        <f>IF(Tableau1737[[#This Row],[Montant HT]]="","",Tableau134556571141[[#This Row],[Marge nette sur prestation ]]/Tableau1737[[#This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IF(Tableau1737[[#This Row],[Libellé de la prestation de services]]="","",SUM(Tableau1737[[#This Row],[Matières premières]:[Frais de livraison liés aux achats]]))</f>
        <v/>
      </c>
      <c r="I21" s="63"/>
      <c r="J21" s="63"/>
      <c r="K21" s="6" t="str">
        <f>IF(Tableau1737[[#This Row],[Libellé de la prestation de services]]="","",SUM(Tableau1737[[#This Row],[Mains d’œuvre avec charges sociales et patronales,]:[Charges locatives]]))</f>
        <v/>
      </c>
      <c r="L21" s="64"/>
      <c r="M21" s="64"/>
      <c r="N21" s="64"/>
      <c r="O21" s="64"/>
      <c r="P21" s="6" t="str">
        <f>IF(Tableau1737[[#This Row],[Libellé de la prestation de services]]="","",SUM(Tableau1354838[[#This Row],[Marketing]:[Livraison]]))</f>
        <v/>
      </c>
      <c r="Q21" s="63"/>
      <c r="R21" s="63"/>
      <c r="S21" s="63"/>
      <c r="T21" s="6" t="str">
        <f>IF(Tableau1737[[#This Row],[Libellé de la prestation de services]]="","",SUM(Tableau13455939[[#This Row],[services généraux]:[impôts]]))</f>
        <v/>
      </c>
      <c r="U21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1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1" s="10" t="str">
        <f>IF(Tableau1737[[#This Row],[Montant HT]]="","",Tableau134556571141[[#This Row],[Marge nette sur prestation ]]/Tableau1345561040[[#This Row],[Coût de revient unitaire]])</f>
        <v/>
      </c>
      <c r="X21" s="10" t="str">
        <f>IF(Tableau1737[[#This Row],[Montant HT]]="","",Tableau134556571141[[#This Row],[Marge nette sur prestation ]]/Tableau1737[[#This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IF(Tableau1737[[#This Row],[Libellé de la prestation de services]]="","",SUM(Tableau1737[[#This Row],[Matières premières]:[Frais de livraison liés aux achats]]))</f>
        <v/>
      </c>
      <c r="I22" s="63"/>
      <c r="J22" s="63"/>
      <c r="K22" s="6" t="str">
        <f>IF(Tableau1737[[#This Row],[Libellé de la prestation de services]]="","",SUM(Tableau1737[[#This Row],[Mains d’œuvre avec charges sociales et patronales,]:[Charges locatives]]))</f>
        <v/>
      </c>
      <c r="L22" s="64"/>
      <c r="M22" s="64"/>
      <c r="N22" s="64"/>
      <c r="O22" s="64"/>
      <c r="P22" s="6" t="str">
        <f>IF(Tableau1737[[#This Row],[Libellé de la prestation de services]]="","",SUM(Tableau1354838[[#This Row],[Marketing]:[Livraison]]))</f>
        <v/>
      </c>
      <c r="Q22" s="63"/>
      <c r="R22" s="63"/>
      <c r="S22" s="63"/>
      <c r="T22" s="6" t="str">
        <f>IF(Tableau1737[[#This Row],[Libellé de la prestation de services]]="","",SUM(Tableau13455939[[#This Row],[services généraux]:[impôts]]))</f>
        <v/>
      </c>
      <c r="U22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2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2" s="10" t="str">
        <f>IF(Tableau1737[[#This Row],[Montant HT]]="","",Tableau134556571141[[#This Row],[Marge nette sur prestation ]]/Tableau1345561040[[#This Row],[Coût de revient unitaire]])</f>
        <v/>
      </c>
      <c r="X22" s="10" t="str">
        <f>IF(Tableau1737[[#This Row],[Montant HT]]="","",Tableau134556571141[[#This Row],[Marge nette sur prestation ]]/Tableau1737[[#This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IF(Tableau1737[[#This Row],[Libellé de la prestation de services]]="","",SUM(Tableau1737[[#This Row],[Matières premières]:[Frais de livraison liés aux achats]]))</f>
        <v/>
      </c>
      <c r="I23" s="63"/>
      <c r="J23" s="63"/>
      <c r="K23" s="6" t="str">
        <f>IF(Tableau1737[[#This Row],[Libellé de la prestation de services]]="","",SUM(Tableau1737[[#This Row],[Mains d’œuvre avec charges sociales et patronales,]:[Charges locatives]]))</f>
        <v/>
      </c>
      <c r="L23" s="64"/>
      <c r="M23" s="64"/>
      <c r="N23" s="64"/>
      <c r="O23" s="64"/>
      <c r="P23" s="6" t="str">
        <f>IF(Tableau1737[[#This Row],[Libellé de la prestation de services]]="","",SUM(Tableau1354838[[#This Row],[Marketing]:[Livraison]]))</f>
        <v/>
      </c>
      <c r="Q23" s="63"/>
      <c r="R23" s="63"/>
      <c r="S23" s="63"/>
      <c r="T23" s="6" t="str">
        <f>IF(Tableau1737[[#This Row],[Libellé de la prestation de services]]="","",SUM(Tableau13455939[[#This Row],[services généraux]:[impôts]]))</f>
        <v/>
      </c>
      <c r="U23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3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3" s="10" t="str">
        <f>IF(Tableau1737[[#This Row],[Montant HT]]="","",Tableau134556571141[[#This Row],[Marge nette sur prestation ]]/Tableau1345561040[[#This Row],[Coût de revient unitaire]])</f>
        <v/>
      </c>
      <c r="X23" s="10" t="str">
        <f>IF(Tableau1737[[#This Row],[Montant HT]]="","",Tableau134556571141[[#This Row],[Marge nette sur prestation ]]/Tableau1737[[#This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IF(Tableau1737[[#This Row],[Libellé de la prestation de services]]="","",SUM(Tableau1737[[#This Row],[Matières premières]:[Frais de livraison liés aux achats]]))</f>
        <v/>
      </c>
      <c r="I24" s="63"/>
      <c r="J24" s="63"/>
      <c r="K24" s="6" t="str">
        <f>IF(Tableau1737[[#This Row],[Libellé de la prestation de services]]="","",SUM(Tableau1737[[#This Row],[Mains d’œuvre avec charges sociales et patronales,]:[Charges locatives]]))</f>
        <v/>
      </c>
      <c r="L24" s="64"/>
      <c r="M24" s="64"/>
      <c r="N24" s="64"/>
      <c r="O24" s="64"/>
      <c r="P24" s="6" t="str">
        <f>IF(Tableau1737[[#This Row],[Libellé de la prestation de services]]="","",SUM(Tableau1354838[[#This Row],[Marketing]:[Livraison]]))</f>
        <v/>
      </c>
      <c r="Q24" s="63"/>
      <c r="R24" s="63"/>
      <c r="S24" s="63"/>
      <c r="T24" s="6" t="str">
        <f>IF(Tableau1737[[#This Row],[Libellé de la prestation de services]]="","",SUM(Tableau13455939[[#This Row],[services généraux]:[impôts]]))</f>
        <v/>
      </c>
      <c r="U24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4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4" s="10" t="str">
        <f>IF(Tableau1737[[#This Row],[Montant HT]]="","",Tableau134556571141[[#This Row],[Marge nette sur prestation ]]/Tableau1345561040[[#This Row],[Coût de revient unitaire]])</f>
        <v/>
      </c>
      <c r="X24" s="10" t="str">
        <f>IF(Tableau1737[[#This Row],[Montant HT]]="","",Tableau134556571141[[#This Row],[Marge nette sur prestation ]]/Tableau1737[[#This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IF(Tableau1737[[#This Row],[Libellé de la prestation de services]]="","",SUM(Tableau1737[[#This Row],[Matières premières]:[Frais de livraison liés aux achats]]))</f>
        <v/>
      </c>
      <c r="I25" s="63"/>
      <c r="J25" s="63"/>
      <c r="K25" s="6" t="str">
        <f>IF(Tableau1737[[#This Row],[Libellé de la prestation de services]]="","",SUM(Tableau1737[[#This Row],[Mains d’œuvre avec charges sociales et patronales,]:[Charges locatives]]))</f>
        <v/>
      </c>
      <c r="L25" s="64"/>
      <c r="M25" s="64"/>
      <c r="N25" s="64"/>
      <c r="O25" s="64"/>
      <c r="P25" s="6" t="str">
        <f>IF(Tableau1737[[#This Row],[Libellé de la prestation de services]]="","",SUM(Tableau1354838[[#This Row],[Marketing]:[Livraison]]))</f>
        <v/>
      </c>
      <c r="Q25" s="63"/>
      <c r="R25" s="63"/>
      <c r="S25" s="63"/>
      <c r="T25" s="6" t="str">
        <f>IF(Tableau1737[[#This Row],[Libellé de la prestation de services]]="","",SUM(Tableau13455939[[#This Row],[services généraux]:[impôts]]))</f>
        <v/>
      </c>
      <c r="U25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5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5" s="10" t="str">
        <f>IF(Tableau1737[[#This Row],[Montant HT]]="","",Tableau134556571141[[#This Row],[Marge nette sur prestation ]]/Tableau1345561040[[#This Row],[Coût de revient unitaire]])</f>
        <v/>
      </c>
      <c r="X25" s="10" t="str">
        <f>IF(Tableau1737[[#This Row],[Montant HT]]="","",Tableau134556571141[[#This Row],[Marge nette sur prestation ]]/Tableau1737[[#This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IF(Tableau1737[[#This Row],[Libellé de la prestation de services]]="","",SUM(Tableau1737[[#This Row],[Matières premières]:[Frais de livraison liés aux achats]]))</f>
        <v/>
      </c>
      <c r="I26" s="63"/>
      <c r="J26" s="63"/>
      <c r="K26" s="6" t="str">
        <f>IF(Tableau1737[[#This Row],[Libellé de la prestation de services]]="","",SUM(Tableau1737[[#This Row],[Mains d’œuvre avec charges sociales et patronales,]:[Charges locatives]]))</f>
        <v/>
      </c>
      <c r="L26" s="64"/>
      <c r="M26" s="64"/>
      <c r="N26" s="64"/>
      <c r="O26" s="64"/>
      <c r="P26" s="6" t="str">
        <f>IF(Tableau1737[[#This Row],[Libellé de la prestation de services]]="","",SUM(Tableau1354838[[#This Row],[Marketing]:[Livraison]]))</f>
        <v/>
      </c>
      <c r="Q26" s="63"/>
      <c r="R26" s="63"/>
      <c r="S26" s="63"/>
      <c r="T26" s="6" t="str">
        <f>IF(Tableau1737[[#This Row],[Libellé de la prestation de services]]="","",SUM(Tableau13455939[[#This Row],[services généraux]:[impôts]]))</f>
        <v/>
      </c>
      <c r="U26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6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6" s="10" t="str">
        <f>IF(Tableau1737[[#This Row],[Montant HT]]="","",Tableau134556571141[[#This Row],[Marge nette sur prestation ]]/Tableau1345561040[[#This Row],[Coût de revient unitaire]])</f>
        <v/>
      </c>
      <c r="X26" s="10" t="str">
        <f>IF(Tableau1737[[#This Row],[Montant HT]]="","",Tableau134556571141[[#This Row],[Marge nette sur prestation ]]/Tableau1737[[#This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IF(Tableau1737[[#This Row],[Libellé de la prestation de services]]="","",SUM(Tableau1737[[#This Row],[Matières premières]:[Frais de livraison liés aux achats]]))</f>
        <v/>
      </c>
      <c r="I27" s="63"/>
      <c r="J27" s="63"/>
      <c r="K27" s="6" t="str">
        <f>IF(Tableau1737[[#This Row],[Libellé de la prestation de services]]="","",SUM(Tableau1737[[#This Row],[Mains d’œuvre avec charges sociales et patronales,]:[Charges locatives]]))</f>
        <v/>
      </c>
      <c r="L27" s="64"/>
      <c r="M27" s="64"/>
      <c r="N27" s="64"/>
      <c r="O27" s="64"/>
      <c r="P27" s="6" t="str">
        <f>IF(Tableau1737[[#This Row],[Libellé de la prestation de services]]="","",SUM(Tableau1354838[[#This Row],[Marketing]:[Livraison]]))</f>
        <v/>
      </c>
      <c r="Q27" s="63"/>
      <c r="R27" s="63"/>
      <c r="S27" s="63"/>
      <c r="T27" s="6" t="str">
        <f>IF(Tableau1737[[#This Row],[Libellé de la prestation de services]]="","",SUM(Tableau13455939[[#This Row],[services généraux]:[impôts]]))</f>
        <v/>
      </c>
      <c r="U27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7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7" s="10" t="str">
        <f>IF(Tableau1737[[#This Row],[Montant HT]]="","",Tableau134556571141[[#This Row],[Marge nette sur prestation ]]/Tableau1345561040[[#This Row],[Coût de revient unitaire]])</f>
        <v/>
      </c>
      <c r="X27" s="10" t="str">
        <f>IF(Tableau1737[[#This Row],[Montant HT]]="","",Tableau134556571141[[#This Row],[Marge nette sur prestation ]]/Tableau1737[[#This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IF(Tableau1737[[#This Row],[Libellé de la prestation de services]]="","",SUM(Tableau1737[[#This Row],[Matières premières]:[Frais de livraison liés aux achats]]))</f>
        <v/>
      </c>
      <c r="I28" s="63"/>
      <c r="J28" s="63"/>
      <c r="K28" s="6" t="str">
        <f>IF(Tableau1737[[#This Row],[Libellé de la prestation de services]]="","",SUM(Tableau1737[[#This Row],[Mains d’œuvre avec charges sociales et patronales,]:[Charges locatives]]))</f>
        <v/>
      </c>
      <c r="L28" s="64"/>
      <c r="M28" s="64"/>
      <c r="N28" s="64"/>
      <c r="O28" s="64"/>
      <c r="P28" s="6" t="str">
        <f>IF(Tableau1737[[#This Row],[Libellé de la prestation de services]]="","",SUM(Tableau1354838[[#This Row],[Marketing]:[Livraison]]))</f>
        <v/>
      </c>
      <c r="Q28" s="63"/>
      <c r="R28" s="63"/>
      <c r="S28" s="63"/>
      <c r="T28" s="6" t="str">
        <f>IF(Tableau1737[[#This Row],[Libellé de la prestation de services]]="","",SUM(Tableau13455939[[#This Row],[services généraux]:[impôts]]))</f>
        <v/>
      </c>
      <c r="U28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8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8" s="10" t="str">
        <f>IF(Tableau1737[[#This Row],[Montant HT]]="","",Tableau134556571141[[#This Row],[Marge nette sur prestation ]]/Tableau1345561040[[#This Row],[Coût de revient unitaire]])</f>
        <v/>
      </c>
      <c r="X28" s="10" t="str">
        <f>IF(Tableau1737[[#This Row],[Montant HT]]="","",Tableau134556571141[[#This Row],[Marge nette sur prestation ]]/Tableau1737[[#This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IF(Tableau1737[[#This Row],[Libellé de la prestation de services]]="","",SUM(Tableau1737[[#This Row],[Matières premières]:[Frais de livraison liés aux achats]]))</f>
        <v/>
      </c>
      <c r="I29" s="63"/>
      <c r="J29" s="63"/>
      <c r="K29" s="6" t="str">
        <f>IF(Tableau1737[[#This Row],[Libellé de la prestation de services]]="","",SUM(Tableau1737[[#This Row],[Mains d’œuvre avec charges sociales et patronales,]:[Charges locatives]]))</f>
        <v/>
      </c>
      <c r="L29" s="64"/>
      <c r="M29" s="64"/>
      <c r="N29" s="64"/>
      <c r="O29" s="64"/>
      <c r="P29" s="6" t="str">
        <f>IF(Tableau1737[[#This Row],[Libellé de la prestation de services]]="","",SUM(Tableau1354838[[#This Row],[Marketing]:[Livraison]]))</f>
        <v/>
      </c>
      <c r="Q29" s="63"/>
      <c r="R29" s="63"/>
      <c r="S29" s="63"/>
      <c r="T29" s="6" t="str">
        <f>IF(Tableau1737[[#This Row],[Libellé de la prestation de services]]="","",SUM(Tableau13455939[[#This Row],[services généraux]:[impôts]]))</f>
        <v/>
      </c>
      <c r="U29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29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29" s="10" t="str">
        <f>IF(Tableau1737[[#This Row],[Montant HT]]="","",Tableau134556571141[[#This Row],[Marge nette sur prestation ]]/Tableau1345561040[[#This Row],[Coût de revient unitaire]])</f>
        <v/>
      </c>
      <c r="X29" s="10" t="str">
        <f>IF(Tableau1737[[#This Row],[Montant HT]]="","",Tableau134556571141[[#This Row],[Marge nette sur prestation ]]/Tableau1737[[#This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IF(Tableau1737[[#This Row],[Libellé de la prestation de services]]="","",SUM(Tableau1737[[#This Row],[Matières premières]:[Frais de livraison liés aux achats]]))</f>
        <v/>
      </c>
      <c r="I30" s="63"/>
      <c r="J30" s="63"/>
      <c r="K30" s="6" t="str">
        <f>IF(Tableau1737[[#This Row],[Libellé de la prestation de services]]="","",SUM(Tableau1737[[#This Row],[Mains d’œuvre avec charges sociales et patronales,]:[Charges locatives]]))</f>
        <v/>
      </c>
      <c r="L30" s="64"/>
      <c r="M30" s="64"/>
      <c r="N30" s="64"/>
      <c r="O30" s="64"/>
      <c r="P30" s="6" t="str">
        <f>IF(Tableau1737[[#This Row],[Libellé de la prestation de services]]="","",SUM(Tableau1354838[[#This Row],[Marketing]:[Livraison]]))</f>
        <v/>
      </c>
      <c r="Q30" s="63"/>
      <c r="R30" s="63"/>
      <c r="S30" s="63"/>
      <c r="T30" s="6" t="str">
        <f>IF(Tableau1737[[#This Row],[Libellé de la prestation de services]]="","",SUM(Tableau13455939[[#This Row],[services généraux]:[impôts]]))</f>
        <v/>
      </c>
      <c r="U30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0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0" s="10" t="str">
        <f>IF(Tableau1737[[#This Row],[Montant HT]]="","",Tableau134556571141[[#This Row],[Marge nette sur prestation ]]/Tableau1345561040[[#This Row],[Coût de revient unitaire]])</f>
        <v/>
      </c>
      <c r="X30" s="10" t="str">
        <f>IF(Tableau1737[[#This Row],[Montant HT]]="","",Tableau134556571141[[#This Row],[Marge nette sur prestation ]]/Tableau1737[[#This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IF(Tableau1737[[#This Row],[Libellé de la prestation de services]]="","",SUM(Tableau1737[[#This Row],[Matières premières]:[Frais de livraison liés aux achats]]))</f>
        <v/>
      </c>
      <c r="I31" s="63"/>
      <c r="J31" s="63"/>
      <c r="K31" s="6" t="str">
        <f>IF(Tableau1737[[#This Row],[Libellé de la prestation de services]]="","",SUM(Tableau1737[[#This Row],[Mains d’œuvre avec charges sociales et patronales,]:[Charges locatives]]))</f>
        <v/>
      </c>
      <c r="L31" s="64"/>
      <c r="M31" s="64"/>
      <c r="N31" s="64"/>
      <c r="O31" s="64"/>
      <c r="P31" s="6" t="str">
        <f>IF(Tableau1737[[#This Row],[Libellé de la prestation de services]]="","",SUM(Tableau1354838[[#This Row],[Marketing]:[Livraison]]))</f>
        <v/>
      </c>
      <c r="Q31" s="63"/>
      <c r="R31" s="63"/>
      <c r="S31" s="63"/>
      <c r="T31" s="6" t="str">
        <f>IF(Tableau1737[[#This Row],[Libellé de la prestation de services]]="","",SUM(Tableau13455939[[#This Row],[services généraux]:[impôts]]))</f>
        <v/>
      </c>
      <c r="U31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1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1" s="10" t="str">
        <f>IF(Tableau1737[[#This Row],[Montant HT]]="","",Tableau134556571141[[#This Row],[Marge nette sur prestation ]]/Tableau1345561040[[#This Row],[Coût de revient unitaire]])</f>
        <v/>
      </c>
      <c r="X31" s="10" t="str">
        <f>IF(Tableau1737[[#This Row],[Montant HT]]="","",Tableau134556571141[[#This Row],[Marge nette sur prestation ]]/Tableau1737[[#This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IF(Tableau1737[[#This Row],[Libellé de la prestation de services]]="","",SUM(Tableau1737[[#This Row],[Matières premières]:[Frais de livraison liés aux achats]]))</f>
        <v/>
      </c>
      <c r="I32" s="63"/>
      <c r="J32" s="63"/>
      <c r="K32" s="6" t="str">
        <f>IF(Tableau1737[[#This Row],[Libellé de la prestation de services]]="","",SUM(Tableau1737[[#This Row],[Mains d’œuvre avec charges sociales et patronales,]:[Charges locatives]]))</f>
        <v/>
      </c>
      <c r="L32" s="64"/>
      <c r="M32" s="64"/>
      <c r="N32" s="64"/>
      <c r="O32" s="64"/>
      <c r="P32" s="6" t="str">
        <f>IF(Tableau1737[[#This Row],[Libellé de la prestation de services]]="","",SUM(Tableau1354838[[#This Row],[Marketing]:[Livraison]]))</f>
        <v/>
      </c>
      <c r="Q32" s="63"/>
      <c r="R32" s="63"/>
      <c r="S32" s="63"/>
      <c r="T32" s="6" t="str">
        <f>IF(Tableau1737[[#This Row],[Libellé de la prestation de services]]="","",SUM(Tableau13455939[[#This Row],[services généraux]:[impôts]]))</f>
        <v/>
      </c>
      <c r="U32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2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2" s="10" t="str">
        <f>IF(Tableau1737[[#This Row],[Montant HT]]="","",Tableau134556571141[[#This Row],[Marge nette sur prestation ]]/Tableau1345561040[[#This Row],[Coût de revient unitaire]])</f>
        <v/>
      </c>
      <c r="X32" s="10" t="str">
        <f>IF(Tableau1737[[#This Row],[Montant HT]]="","",Tableau134556571141[[#This Row],[Marge nette sur prestation ]]/Tableau1737[[#This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IF(Tableau1737[[#This Row],[Libellé de la prestation de services]]="","",SUM(Tableau1737[[#This Row],[Matières premières]:[Frais de livraison liés aux achats]]))</f>
        <v/>
      </c>
      <c r="I33" s="63"/>
      <c r="J33" s="63"/>
      <c r="K33" s="6" t="str">
        <f>IF(Tableau1737[[#This Row],[Libellé de la prestation de services]]="","",SUM(Tableau1737[[#This Row],[Mains d’œuvre avec charges sociales et patronales,]:[Charges locatives]]))</f>
        <v/>
      </c>
      <c r="L33" s="64"/>
      <c r="M33" s="64"/>
      <c r="N33" s="64"/>
      <c r="O33" s="64"/>
      <c r="P33" s="6" t="str">
        <f>IF(Tableau1737[[#This Row],[Libellé de la prestation de services]]="","",SUM(Tableau1354838[[#This Row],[Marketing]:[Livraison]]))</f>
        <v/>
      </c>
      <c r="Q33" s="63"/>
      <c r="R33" s="63"/>
      <c r="S33" s="63"/>
      <c r="T33" s="6" t="str">
        <f>IF(Tableau1737[[#This Row],[Libellé de la prestation de services]]="","",SUM(Tableau13455939[[#This Row],[services généraux]:[impôts]]))</f>
        <v/>
      </c>
      <c r="U33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3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3" s="10" t="str">
        <f>IF(Tableau1737[[#This Row],[Montant HT]]="","",Tableau134556571141[[#This Row],[Marge nette sur prestation ]]/Tableau1345561040[[#This Row],[Coût de revient unitaire]])</f>
        <v/>
      </c>
      <c r="X33" s="10" t="str">
        <f>IF(Tableau1737[[#This Row],[Montant HT]]="","",Tableau134556571141[[#This Row],[Marge nette sur prestation ]]/Tableau1737[[#This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IF(Tableau1737[[#This Row],[Libellé de la prestation de services]]="","",SUM(Tableau1737[[#This Row],[Matières premières]:[Frais de livraison liés aux achats]]))</f>
        <v/>
      </c>
      <c r="I34" s="63"/>
      <c r="J34" s="63"/>
      <c r="K34" s="6" t="str">
        <f>IF(Tableau1737[[#This Row],[Libellé de la prestation de services]]="","",SUM(Tableau1737[[#This Row],[Mains d’œuvre avec charges sociales et patronales,]:[Charges locatives]]))</f>
        <v/>
      </c>
      <c r="L34" s="64"/>
      <c r="M34" s="64"/>
      <c r="N34" s="64"/>
      <c r="O34" s="64"/>
      <c r="P34" s="6" t="str">
        <f>IF(Tableau1737[[#This Row],[Libellé de la prestation de services]]="","",SUM(Tableau1354838[[#This Row],[Marketing]:[Livraison]]))</f>
        <v/>
      </c>
      <c r="Q34" s="63"/>
      <c r="R34" s="63"/>
      <c r="S34" s="63"/>
      <c r="T34" s="6" t="str">
        <f>IF(Tableau1737[[#This Row],[Libellé de la prestation de services]]="","",SUM(Tableau13455939[[#This Row],[services généraux]:[impôts]]))</f>
        <v/>
      </c>
      <c r="U34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4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4" s="10" t="str">
        <f>IF(Tableau1737[[#This Row],[Montant HT]]="","",Tableau134556571141[[#This Row],[Marge nette sur prestation ]]/Tableau1345561040[[#This Row],[Coût de revient unitaire]])</f>
        <v/>
      </c>
      <c r="X34" s="10" t="str">
        <f>IF(Tableau1737[[#This Row],[Montant HT]]="","",Tableau134556571141[[#This Row],[Marge nette sur prestation ]]/Tableau1737[[#This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IF(Tableau1737[[#This Row],[Libellé de la prestation de services]]="","",SUM(Tableau1737[[#This Row],[Matières premières]:[Frais de livraison liés aux achats]]))</f>
        <v/>
      </c>
      <c r="I35" s="63"/>
      <c r="J35" s="63"/>
      <c r="K35" s="6" t="str">
        <f>IF(Tableau1737[[#This Row],[Libellé de la prestation de services]]="","",SUM(Tableau1737[[#This Row],[Mains d’œuvre avec charges sociales et patronales,]:[Charges locatives]]))</f>
        <v/>
      </c>
      <c r="L35" s="64"/>
      <c r="M35" s="64"/>
      <c r="N35" s="64"/>
      <c r="O35" s="64"/>
      <c r="P35" s="6" t="str">
        <f>IF(Tableau1737[[#This Row],[Libellé de la prestation de services]]="","",SUM(Tableau1354838[[#This Row],[Marketing]:[Livraison]]))</f>
        <v/>
      </c>
      <c r="Q35" s="63"/>
      <c r="R35" s="63"/>
      <c r="S35" s="63"/>
      <c r="T35" s="6" t="str">
        <f>IF(Tableau1737[[#This Row],[Libellé de la prestation de services]]="","",SUM(Tableau13455939[[#This Row],[services généraux]:[impôts]]))</f>
        <v/>
      </c>
      <c r="U35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5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5" s="10" t="str">
        <f>IF(Tableau1737[[#This Row],[Montant HT]]="","",Tableau134556571141[[#This Row],[Marge nette sur prestation ]]/Tableau1345561040[[#This Row],[Coût de revient unitaire]])</f>
        <v/>
      </c>
      <c r="X35" s="10" t="str">
        <f>IF(Tableau1737[[#This Row],[Montant HT]]="","",Tableau134556571141[[#This Row],[Marge nette sur prestation ]]/Tableau1737[[#This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IF(Tableau1737[[#This Row],[Libellé de la prestation de services]]="","",SUM(Tableau1737[[#This Row],[Matières premières]:[Frais de livraison liés aux achats]]))</f>
        <v/>
      </c>
      <c r="I36" s="63"/>
      <c r="J36" s="63"/>
      <c r="K36" s="6" t="str">
        <f>IF(Tableau1737[[#This Row],[Libellé de la prestation de services]]="","",SUM(Tableau1737[[#This Row],[Mains d’œuvre avec charges sociales et patronales,]:[Charges locatives]]))</f>
        <v/>
      </c>
      <c r="L36" s="64"/>
      <c r="M36" s="64"/>
      <c r="N36" s="64"/>
      <c r="O36" s="64"/>
      <c r="P36" s="6" t="str">
        <f>IF(Tableau1737[[#This Row],[Libellé de la prestation de services]]="","",SUM(Tableau1354838[[#This Row],[Marketing]:[Livraison]]))</f>
        <v/>
      </c>
      <c r="Q36" s="63"/>
      <c r="R36" s="63"/>
      <c r="S36" s="63"/>
      <c r="T36" s="6" t="str">
        <f>IF(Tableau1737[[#This Row],[Libellé de la prestation de services]]="","",SUM(Tableau13455939[[#This Row],[services généraux]:[impôts]]))</f>
        <v/>
      </c>
      <c r="U36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6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6" s="10" t="str">
        <f>IF(Tableau1737[[#This Row],[Montant HT]]="","",Tableau134556571141[[#This Row],[Marge nette sur prestation ]]/Tableau1345561040[[#This Row],[Coût de revient unitaire]])</f>
        <v/>
      </c>
      <c r="X36" s="10" t="str">
        <f>IF(Tableau1737[[#This Row],[Montant HT]]="","",Tableau134556571141[[#This Row],[Marge nette sur prestation ]]/Tableau1737[[#This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IF(Tableau1737[[#This Row],[Libellé de la prestation de services]]="","",SUM(Tableau1737[[#This Row],[Matières premières]:[Frais de livraison liés aux achats]]))</f>
        <v/>
      </c>
      <c r="I37" s="63"/>
      <c r="J37" s="63"/>
      <c r="K37" s="6" t="str">
        <f>IF(Tableau1737[[#This Row],[Libellé de la prestation de services]]="","",SUM(Tableau1737[[#This Row],[Mains d’œuvre avec charges sociales et patronales,]:[Charges locatives]]))</f>
        <v/>
      </c>
      <c r="L37" s="64"/>
      <c r="M37" s="64"/>
      <c r="N37" s="64"/>
      <c r="O37" s="64"/>
      <c r="P37" s="6" t="str">
        <f>IF(Tableau1737[[#This Row],[Libellé de la prestation de services]]="","",SUM(Tableau1354838[[#This Row],[Marketing]:[Livraison]]))</f>
        <v/>
      </c>
      <c r="Q37" s="63"/>
      <c r="R37" s="63"/>
      <c r="S37" s="63"/>
      <c r="T37" s="6" t="str">
        <f>IF(Tableau1737[[#This Row],[Libellé de la prestation de services]]="","",SUM(Tableau13455939[[#This Row],[services généraux]:[impôts]]))</f>
        <v/>
      </c>
      <c r="U37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7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7" s="10" t="str">
        <f>IF(Tableau1737[[#This Row],[Montant HT]]="","",Tableau134556571141[[#This Row],[Marge nette sur prestation ]]/Tableau1345561040[[#This Row],[Coût de revient unitaire]])</f>
        <v/>
      </c>
      <c r="X37" s="10" t="str">
        <f>IF(Tableau1737[[#This Row],[Montant HT]]="","",Tableau134556571141[[#This Row],[Marge nette sur prestation ]]/Tableau1737[[#This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IF(Tableau1737[[#This Row],[Libellé de la prestation de services]]="","",SUM(Tableau1737[[#This Row],[Matières premières]:[Frais de livraison liés aux achats]]))</f>
        <v/>
      </c>
      <c r="I38" s="63"/>
      <c r="J38" s="63"/>
      <c r="K38" s="6" t="str">
        <f>IF(Tableau1737[[#This Row],[Libellé de la prestation de services]]="","",SUM(Tableau1737[[#This Row],[Mains d’œuvre avec charges sociales et patronales,]:[Charges locatives]]))</f>
        <v/>
      </c>
      <c r="L38" s="64"/>
      <c r="M38" s="64"/>
      <c r="N38" s="64"/>
      <c r="O38" s="64"/>
      <c r="P38" s="6" t="str">
        <f>IF(Tableau1737[[#This Row],[Libellé de la prestation de services]]="","",SUM(Tableau1354838[[#This Row],[Marketing]:[Livraison]]))</f>
        <v/>
      </c>
      <c r="Q38" s="63"/>
      <c r="R38" s="63"/>
      <c r="S38" s="63"/>
      <c r="T38" s="6" t="str">
        <f>IF(Tableau1737[[#This Row],[Libellé de la prestation de services]]="","",SUM(Tableau13455939[[#This Row],[services généraux]:[impôts]]))</f>
        <v/>
      </c>
      <c r="U38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8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8" s="10" t="str">
        <f>IF(Tableau1737[[#This Row],[Montant HT]]="","",Tableau134556571141[[#This Row],[Marge nette sur prestation ]]/Tableau1345561040[[#This Row],[Coût de revient unitaire]])</f>
        <v/>
      </c>
      <c r="X38" s="10" t="str">
        <f>IF(Tableau1737[[#This Row],[Montant HT]]="","",Tableau134556571141[[#This Row],[Marge nette sur prestation ]]/Tableau1737[[#This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IF(Tableau1737[[#This Row],[Libellé de la prestation de services]]="","",SUM(Tableau1737[[#This Row],[Matières premières]:[Frais de livraison liés aux achats]]))</f>
        <v/>
      </c>
      <c r="I39" s="63"/>
      <c r="J39" s="63"/>
      <c r="K39" s="6" t="str">
        <f>IF(Tableau1737[[#This Row],[Libellé de la prestation de services]]="","",SUM(Tableau1737[[#This Row],[Mains d’œuvre avec charges sociales et patronales,]:[Charges locatives]]))</f>
        <v/>
      </c>
      <c r="L39" s="64"/>
      <c r="M39" s="64"/>
      <c r="N39" s="64"/>
      <c r="O39" s="64"/>
      <c r="P39" s="6" t="str">
        <f>IF(Tableau1737[[#This Row],[Libellé de la prestation de services]]="","",SUM(Tableau1354838[[#This Row],[Marketing]:[Livraison]]))</f>
        <v/>
      </c>
      <c r="Q39" s="63"/>
      <c r="R39" s="63"/>
      <c r="S39" s="63"/>
      <c r="T39" s="6" t="str">
        <f>IF(Tableau1737[[#This Row],[Libellé de la prestation de services]]="","",SUM(Tableau13455939[[#This Row],[services généraux]:[impôts]]))</f>
        <v/>
      </c>
      <c r="U39" s="9" t="str">
        <f>IF(Tableau1737[[#This Row],[Libellé de la prestation de services]]="","",Tableau1737[[#This Row],[Couts d''achat et d''approvisionnement]]+Tableau1354838[[#This Row],[Coûts de production]]+Tableau13455939[[#This Row],[Coûts de commercialisation et distribution]]+Tableau1345561040[[#This Row],[Coûts administratifs]])</f>
        <v/>
      </c>
      <c r="V39" s="9" t="str">
        <f>IF(Tableau1737[[#This Row],[Libellé de la prestation de services]]="","",Tableau1737[[#This Row],[Montant HT]]-Tableau1354838[[#This Row],[Coûts de production]]-Tableau13455939[[#This Row],[Coûts de commercialisation et distribution]]-Tableau1345561040[[#This Row],[Coûts administratifs]])</f>
        <v/>
      </c>
      <c r="W39" s="10" t="str">
        <f>IF(Tableau1737[[#This Row],[Montant HT]]="","",Tableau134556571141[[#This Row],[Marge nette sur prestation ]]/Tableau1345561040[[#This Row],[Coût de revient unitaire]])</f>
        <v/>
      </c>
      <c r="X39" s="10" t="str">
        <f>IF(Tableau1737[[#This Row],[Montant HT]]="","",Tableau134556571141[[#This Row],[Marge nette sur prestation ]]/Tableau1737[[#This Row],[Montant HT]])</f>
        <v/>
      </c>
    </row>
    <row r="40" spans="1:24" ht="15.75" x14ac:dyDescent="0.25">
      <c r="A40" s="8"/>
      <c r="B40" s="8">
        <f>SUBTOTAL(103,Tableau1737[Libellé de la prestation de services])</f>
        <v>0</v>
      </c>
      <c r="C40" s="7">
        <f>SUBTOTAL(109,Tableau1737[Montant HT])</f>
        <v>0</v>
      </c>
      <c r="D40" s="7">
        <f>SUBTOTAL(109,Tableau1737[Matières premières])</f>
        <v>0</v>
      </c>
      <c r="E40" s="7">
        <f>SUBTOTAL(109,Tableau1737[Marchandises])</f>
        <v>0</v>
      </c>
      <c r="F40" s="7">
        <f>SUBTOTAL(109,Tableau1737[Consommables])</f>
        <v>0</v>
      </c>
      <c r="G40" s="7">
        <f>SUBTOTAL(109,Tableau1737[Frais de livraison liés aux achats])</f>
        <v>0</v>
      </c>
      <c r="H40" s="7">
        <f>SUBTOTAL(109,Tableau1737[Couts d''achat et d''approvisionnement])</f>
        <v>0</v>
      </c>
      <c r="I40" s="7">
        <f>SUBTOTAL(109,Tableau1737[Mains d’œuvre avec charges sociales et patronales,])</f>
        <v>0</v>
      </c>
      <c r="J40" s="7">
        <f>SUBTOTAL(109,Tableau1737[Charges locatives])</f>
        <v>0</v>
      </c>
      <c r="K40" s="7">
        <f>SUBTOTAL(109,Tableau1354838[Coûts de production])</f>
        <v>0</v>
      </c>
      <c r="L40" s="7">
        <f>SUBTOTAL(109,Tableau1354838[Marketing])</f>
        <v>0</v>
      </c>
      <c r="M40" s="7">
        <f>SUBTOTAL(109,Tableau1354838[Prospection])</f>
        <v>0</v>
      </c>
      <c r="N40" s="7">
        <f>SUBTOTAL(109,Tableau1354838[Commerciaux])</f>
        <v>0</v>
      </c>
      <c r="O40" s="7">
        <f>SUBTOTAL(109,Tableau1354838[Livraison])</f>
        <v>0</v>
      </c>
      <c r="P40" s="7">
        <f>SUBTOTAL(109,Tableau13455939[Coûts de commercialisation et distribution])</f>
        <v>0</v>
      </c>
      <c r="Q40" s="7">
        <f>SUBTOTAL(109,Tableau13455939[services généraux])</f>
        <v>0</v>
      </c>
      <c r="R40" s="7">
        <f>SUBTOTAL(109,Tableau13455939[frais divers])</f>
        <v>0</v>
      </c>
      <c r="S40" s="7">
        <f>SUBTOTAL(109,Tableau13455939[impôts])</f>
        <v>0</v>
      </c>
      <c r="T40" s="7">
        <f>SUBTOTAL(109,Tableau1345561040[Coûts administratifs])</f>
        <v>0</v>
      </c>
      <c r="U40" s="7">
        <f>SUBTOTAL(109,Tableau1345561040[Coût de revient unitaire])</f>
        <v>0</v>
      </c>
      <c r="V40" s="7">
        <f>SUBTOTAL(109,Tableau134556571141[[Marge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IF(Tableau1742[[#This Row],[Libellé de la prestation de services]]="","",SUM(Tableau1742[[#This Row],[Matières premières]:[Frais de livraison liés aux achats]]))</f>
        <v/>
      </c>
      <c r="I3" s="63"/>
      <c r="J3" s="63"/>
      <c r="K3" s="6" t="str">
        <f>IF(Tableau1742[[#This Row],[Libellé de la prestation de services]]="","",SUM(Tableau1742[[#This Row],[Mains d’œuvre avec charges sociales et patronales,]:[Charges locatives]]))</f>
        <v/>
      </c>
      <c r="L3" s="64"/>
      <c r="M3" s="64"/>
      <c r="N3" s="64"/>
      <c r="O3" s="64"/>
      <c r="P3" s="6" t="str">
        <f>IF(Tableau1742[[#This Row],[Libellé de la prestation de services]]="","",SUM(Tableau1354843[[#This Row],[Marketing]:[Livraison]]))</f>
        <v/>
      </c>
      <c r="Q3" s="63"/>
      <c r="R3" s="63"/>
      <c r="S3" s="63"/>
      <c r="T3" s="6" t="str">
        <f>IF(Tableau1742[[#This Row],[Libellé de la prestation de services]]="","",SUM(Tableau13455944[[#This Row],[services généraux]:[impôts]]))</f>
        <v/>
      </c>
      <c r="U3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" s="10" t="str">
        <f>IF(Tableau1742[[#This Row],[Montant HT]]="","",Tableau134556571146[[#This Row],[Marge nette sur prestation ]]/Tableau1345561045[[#This Row],[Coût de revient unitaire]])</f>
        <v/>
      </c>
      <c r="X3" s="10" t="str">
        <f>IF(Tableau1742[[#This Row],[Montant HT]]="","",Tableau134556571146[[#This Row],[Marge nette sur prestation ]]/Tableau1742[[#This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IF(Tableau1742[[#This Row],[Libellé de la prestation de services]]="","",SUM(Tableau1742[[#This Row],[Matières premières]:[Frais de livraison liés aux achats]]))</f>
        <v/>
      </c>
      <c r="I4" s="63"/>
      <c r="J4" s="63"/>
      <c r="K4" s="6" t="str">
        <f>IF(Tableau1742[[#This Row],[Libellé de la prestation de services]]="","",SUM(Tableau1742[[#This Row],[Mains d’œuvre avec charges sociales et patronales,]:[Charges locatives]]))</f>
        <v/>
      </c>
      <c r="L4" s="64"/>
      <c r="M4" s="64"/>
      <c r="N4" s="64"/>
      <c r="O4" s="64"/>
      <c r="P4" s="6" t="str">
        <f>IF(Tableau1742[[#This Row],[Libellé de la prestation de services]]="","",SUM(Tableau1354843[[#This Row],[Marketing]:[Livraison]]))</f>
        <v/>
      </c>
      <c r="Q4" s="63"/>
      <c r="R4" s="63"/>
      <c r="S4" s="63"/>
      <c r="T4" s="6" t="str">
        <f>IF(Tableau1742[[#This Row],[Libellé de la prestation de services]]="","",SUM(Tableau13455944[[#This Row],[services généraux]:[impôts]]))</f>
        <v/>
      </c>
      <c r="U4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4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4" s="10" t="str">
        <f>IF(Tableau1742[[#This Row],[Montant HT]]="","",Tableau134556571146[[#This Row],[Marge nette sur prestation ]]/Tableau1345561045[[#This Row],[Coût de revient unitaire]])</f>
        <v/>
      </c>
      <c r="X4" s="10" t="str">
        <f>IF(Tableau1742[[#This Row],[Montant HT]]="","",Tableau134556571146[[#This Row],[Marge nette sur prestation ]]/Tableau1742[[#This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IF(Tableau1742[[#This Row],[Libellé de la prestation de services]]="","",SUM(Tableau1742[[#This Row],[Matières premières]:[Frais de livraison liés aux achats]]))</f>
        <v/>
      </c>
      <c r="I5" s="63"/>
      <c r="J5" s="63"/>
      <c r="K5" s="6" t="str">
        <f>IF(Tableau1742[[#This Row],[Libellé de la prestation de services]]="","",SUM(Tableau1742[[#This Row],[Mains d’œuvre avec charges sociales et patronales,]:[Charges locatives]]))</f>
        <v/>
      </c>
      <c r="L5" s="64"/>
      <c r="M5" s="64"/>
      <c r="N5" s="64"/>
      <c r="O5" s="64"/>
      <c r="P5" s="6" t="str">
        <f>IF(Tableau1742[[#This Row],[Libellé de la prestation de services]]="","",SUM(Tableau1354843[[#This Row],[Marketing]:[Livraison]]))</f>
        <v/>
      </c>
      <c r="Q5" s="63"/>
      <c r="R5" s="63"/>
      <c r="S5" s="63"/>
      <c r="T5" s="6" t="str">
        <f>IF(Tableau1742[[#This Row],[Libellé de la prestation de services]]="","",SUM(Tableau13455944[[#This Row],[services généraux]:[impôts]]))</f>
        <v/>
      </c>
      <c r="U5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5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5" s="10" t="str">
        <f>IF(Tableau1742[[#This Row],[Montant HT]]="","",Tableau134556571146[[#This Row],[Marge nette sur prestation ]]/Tableau1345561045[[#This Row],[Coût de revient unitaire]])</f>
        <v/>
      </c>
      <c r="X5" s="10" t="str">
        <f>IF(Tableau1742[[#This Row],[Montant HT]]="","",Tableau134556571146[[#This Row],[Marge nette sur prestation ]]/Tableau1742[[#This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IF(Tableau1742[[#This Row],[Libellé de la prestation de services]]="","",SUM(Tableau1742[[#This Row],[Matières premières]:[Frais de livraison liés aux achats]]))</f>
        <v/>
      </c>
      <c r="I6" s="63"/>
      <c r="J6" s="63"/>
      <c r="K6" s="6" t="str">
        <f>IF(Tableau1742[[#This Row],[Libellé de la prestation de services]]="","",SUM(Tableau1742[[#This Row],[Mains d’œuvre avec charges sociales et patronales,]:[Charges locatives]]))</f>
        <v/>
      </c>
      <c r="L6" s="64"/>
      <c r="M6" s="64"/>
      <c r="N6" s="64"/>
      <c r="O6" s="64"/>
      <c r="P6" s="6" t="str">
        <f>IF(Tableau1742[[#This Row],[Libellé de la prestation de services]]="","",SUM(Tableau1354843[[#This Row],[Marketing]:[Livraison]]))</f>
        <v/>
      </c>
      <c r="Q6" s="63"/>
      <c r="R6" s="63"/>
      <c r="S6" s="63"/>
      <c r="T6" s="6" t="str">
        <f>IF(Tableau1742[[#This Row],[Libellé de la prestation de services]]="","",SUM(Tableau13455944[[#This Row],[services généraux]:[impôts]]))</f>
        <v/>
      </c>
      <c r="U6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6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6" s="10" t="str">
        <f>IF(Tableau1742[[#This Row],[Montant HT]]="","",Tableau134556571146[[#This Row],[Marge nette sur prestation ]]/Tableau1345561045[[#This Row],[Coût de revient unitaire]])</f>
        <v/>
      </c>
      <c r="X6" s="10" t="str">
        <f>IF(Tableau1742[[#This Row],[Montant HT]]="","",Tableau134556571146[[#This Row],[Marge nette sur prestation ]]/Tableau1742[[#This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IF(Tableau1742[[#This Row],[Libellé de la prestation de services]]="","",SUM(Tableau1742[[#This Row],[Matières premières]:[Frais de livraison liés aux achats]]))</f>
        <v/>
      </c>
      <c r="I7" s="63"/>
      <c r="J7" s="63"/>
      <c r="K7" s="6" t="str">
        <f>IF(Tableau1742[[#This Row],[Libellé de la prestation de services]]="","",SUM(Tableau1742[[#This Row],[Mains d’œuvre avec charges sociales et patronales,]:[Charges locatives]]))</f>
        <v/>
      </c>
      <c r="L7" s="64"/>
      <c r="M7" s="64"/>
      <c r="N7" s="64"/>
      <c r="O7" s="64"/>
      <c r="P7" s="6" t="str">
        <f>IF(Tableau1742[[#This Row],[Libellé de la prestation de services]]="","",SUM(Tableau1354843[[#This Row],[Marketing]:[Livraison]]))</f>
        <v/>
      </c>
      <c r="Q7" s="63"/>
      <c r="R7" s="63"/>
      <c r="S7" s="63"/>
      <c r="T7" s="6" t="str">
        <f>IF(Tableau1742[[#This Row],[Libellé de la prestation de services]]="","",SUM(Tableau13455944[[#This Row],[services généraux]:[impôts]]))</f>
        <v/>
      </c>
      <c r="U7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7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7" s="10" t="str">
        <f>IF(Tableau1742[[#This Row],[Montant HT]]="","",Tableau134556571146[[#This Row],[Marge nette sur prestation ]]/Tableau1345561045[[#This Row],[Coût de revient unitaire]])</f>
        <v/>
      </c>
      <c r="X7" s="10" t="str">
        <f>IF(Tableau1742[[#This Row],[Montant HT]]="","",Tableau134556571146[[#This Row],[Marge nette sur prestation ]]/Tableau1742[[#This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IF(Tableau1742[[#This Row],[Libellé de la prestation de services]]="","",SUM(Tableau1742[[#This Row],[Matières premières]:[Frais de livraison liés aux achats]]))</f>
        <v/>
      </c>
      <c r="I8" s="63"/>
      <c r="J8" s="63"/>
      <c r="K8" s="6" t="str">
        <f>IF(Tableau1742[[#This Row],[Libellé de la prestation de services]]="","",SUM(Tableau1742[[#This Row],[Mains d’œuvre avec charges sociales et patronales,]:[Charges locatives]]))</f>
        <v/>
      </c>
      <c r="L8" s="64"/>
      <c r="M8" s="64"/>
      <c r="N8" s="64"/>
      <c r="O8" s="64"/>
      <c r="P8" s="6" t="str">
        <f>IF(Tableau1742[[#This Row],[Libellé de la prestation de services]]="","",SUM(Tableau1354843[[#This Row],[Marketing]:[Livraison]]))</f>
        <v/>
      </c>
      <c r="Q8" s="63"/>
      <c r="R8" s="63"/>
      <c r="S8" s="63"/>
      <c r="T8" s="6" t="str">
        <f>IF(Tableau1742[[#This Row],[Libellé de la prestation de services]]="","",SUM(Tableau13455944[[#This Row],[services généraux]:[impôts]]))</f>
        <v/>
      </c>
      <c r="U8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8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8" s="10" t="str">
        <f>IF(Tableau1742[[#This Row],[Montant HT]]="","",Tableau134556571146[[#This Row],[Marge nette sur prestation ]]/Tableau1345561045[[#This Row],[Coût de revient unitaire]])</f>
        <v/>
      </c>
      <c r="X8" s="10" t="str">
        <f>IF(Tableau1742[[#This Row],[Montant HT]]="","",Tableau134556571146[[#This Row],[Marge nette sur prestation ]]/Tableau1742[[#This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IF(Tableau1742[[#This Row],[Libellé de la prestation de services]]="","",SUM(Tableau1742[[#This Row],[Matières premières]:[Frais de livraison liés aux achats]]))</f>
        <v/>
      </c>
      <c r="I9" s="63"/>
      <c r="J9" s="63"/>
      <c r="K9" s="6" t="str">
        <f>IF(Tableau1742[[#This Row],[Libellé de la prestation de services]]="","",SUM(Tableau1742[[#This Row],[Mains d’œuvre avec charges sociales et patronales,]:[Charges locatives]]))</f>
        <v/>
      </c>
      <c r="L9" s="64"/>
      <c r="M9" s="64"/>
      <c r="N9" s="64"/>
      <c r="O9" s="64"/>
      <c r="P9" s="6" t="str">
        <f>IF(Tableau1742[[#This Row],[Libellé de la prestation de services]]="","",SUM(Tableau1354843[[#This Row],[Marketing]:[Livraison]]))</f>
        <v/>
      </c>
      <c r="Q9" s="63"/>
      <c r="R9" s="63"/>
      <c r="S9" s="63"/>
      <c r="T9" s="6" t="str">
        <f>IF(Tableau1742[[#This Row],[Libellé de la prestation de services]]="","",SUM(Tableau13455944[[#This Row],[services généraux]:[impôts]]))</f>
        <v/>
      </c>
      <c r="U9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9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9" s="10" t="str">
        <f>IF(Tableau1742[[#This Row],[Montant HT]]="","",Tableau134556571146[[#This Row],[Marge nette sur prestation ]]/Tableau1345561045[[#This Row],[Coût de revient unitaire]])</f>
        <v/>
      </c>
      <c r="X9" s="10" t="str">
        <f>IF(Tableau1742[[#This Row],[Montant HT]]="","",Tableau134556571146[[#This Row],[Marge nette sur prestation ]]/Tableau1742[[#This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IF(Tableau1742[[#This Row],[Libellé de la prestation de services]]="","",SUM(Tableau1742[[#This Row],[Matières premières]:[Frais de livraison liés aux achats]]))</f>
        <v/>
      </c>
      <c r="I10" s="63"/>
      <c r="J10" s="63"/>
      <c r="K10" s="6" t="str">
        <f>IF(Tableau1742[[#This Row],[Libellé de la prestation de services]]="","",SUM(Tableau1742[[#This Row],[Mains d’œuvre avec charges sociales et patronales,]:[Charges locatives]]))</f>
        <v/>
      </c>
      <c r="L10" s="64"/>
      <c r="M10" s="64"/>
      <c r="N10" s="64"/>
      <c r="O10" s="64"/>
      <c r="P10" s="6" t="str">
        <f>IF(Tableau1742[[#This Row],[Libellé de la prestation de services]]="","",SUM(Tableau1354843[[#This Row],[Marketing]:[Livraison]]))</f>
        <v/>
      </c>
      <c r="Q10" s="63"/>
      <c r="R10" s="63"/>
      <c r="S10" s="63"/>
      <c r="T10" s="6" t="str">
        <f>IF(Tableau1742[[#This Row],[Libellé de la prestation de services]]="","",SUM(Tableau13455944[[#This Row],[services généraux]:[impôts]]))</f>
        <v/>
      </c>
      <c r="U10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0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0" s="10" t="str">
        <f>IF(Tableau1742[[#This Row],[Montant HT]]="","",Tableau134556571146[[#This Row],[Marge nette sur prestation ]]/Tableau1345561045[[#This Row],[Coût de revient unitaire]])</f>
        <v/>
      </c>
      <c r="X10" s="10" t="str">
        <f>IF(Tableau1742[[#This Row],[Montant HT]]="","",Tableau134556571146[[#This Row],[Marge nette sur prestation ]]/Tableau1742[[#This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IF(Tableau1742[[#This Row],[Libellé de la prestation de services]]="","",SUM(Tableau1742[[#This Row],[Matières premières]:[Frais de livraison liés aux achats]]))</f>
        <v/>
      </c>
      <c r="I11" s="63"/>
      <c r="J11" s="63"/>
      <c r="K11" s="6" t="str">
        <f>IF(Tableau1742[[#This Row],[Libellé de la prestation de services]]="","",SUM(Tableau1742[[#This Row],[Mains d’œuvre avec charges sociales et patronales,]:[Charges locatives]]))</f>
        <v/>
      </c>
      <c r="L11" s="64"/>
      <c r="M11" s="64"/>
      <c r="N11" s="64"/>
      <c r="O11" s="64"/>
      <c r="P11" s="6" t="str">
        <f>IF(Tableau1742[[#This Row],[Libellé de la prestation de services]]="","",SUM(Tableau1354843[[#This Row],[Marketing]:[Livraison]]))</f>
        <v/>
      </c>
      <c r="Q11" s="63"/>
      <c r="R11" s="63"/>
      <c r="S11" s="63"/>
      <c r="T11" s="6" t="str">
        <f>IF(Tableau1742[[#This Row],[Libellé de la prestation de services]]="","",SUM(Tableau13455944[[#This Row],[services généraux]:[impôts]]))</f>
        <v/>
      </c>
      <c r="U11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1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1" s="10" t="str">
        <f>IF(Tableau1742[[#This Row],[Montant HT]]="","",Tableau134556571146[[#This Row],[Marge nette sur prestation ]]/Tableau1345561045[[#This Row],[Coût de revient unitaire]])</f>
        <v/>
      </c>
      <c r="X11" s="10" t="str">
        <f>IF(Tableau1742[[#This Row],[Montant HT]]="","",Tableau134556571146[[#This Row],[Marge nette sur prestation ]]/Tableau1742[[#This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IF(Tableau1742[[#This Row],[Libellé de la prestation de services]]="","",SUM(Tableau1742[[#This Row],[Matières premières]:[Frais de livraison liés aux achats]]))</f>
        <v/>
      </c>
      <c r="I12" s="63"/>
      <c r="J12" s="63"/>
      <c r="K12" s="6" t="str">
        <f>IF(Tableau1742[[#This Row],[Libellé de la prestation de services]]="","",SUM(Tableau1742[[#This Row],[Mains d’œuvre avec charges sociales et patronales,]:[Charges locatives]]))</f>
        <v/>
      </c>
      <c r="L12" s="64"/>
      <c r="M12" s="64"/>
      <c r="N12" s="64"/>
      <c r="O12" s="64"/>
      <c r="P12" s="6" t="str">
        <f>IF(Tableau1742[[#This Row],[Libellé de la prestation de services]]="","",SUM(Tableau1354843[[#This Row],[Marketing]:[Livraison]]))</f>
        <v/>
      </c>
      <c r="Q12" s="63"/>
      <c r="R12" s="63"/>
      <c r="S12" s="63"/>
      <c r="T12" s="6" t="str">
        <f>IF(Tableau1742[[#This Row],[Libellé de la prestation de services]]="","",SUM(Tableau13455944[[#This Row],[services généraux]:[impôts]]))</f>
        <v/>
      </c>
      <c r="U12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2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2" s="10" t="str">
        <f>IF(Tableau1742[[#This Row],[Montant HT]]="","",Tableau134556571146[[#This Row],[Marge nette sur prestation ]]/Tableau1345561045[[#This Row],[Coût de revient unitaire]])</f>
        <v/>
      </c>
      <c r="X12" s="10" t="str">
        <f>IF(Tableau1742[[#This Row],[Montant HT]]="","",Tableau134556571146[[#This Row],[Marge nette sur prestation ]]/Tableau1742[[#This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IF(Tableau1742[[#This Row],[Libellé de la prestation de services]]="","",SUM(Tableau1742[[#This Row],[Matières premières]:[Frais de livraison liés aux achats]]))</f>
        <v/>
      </c>
      <c r="I13" s="63"/>
      <c r="J13" s="63"/>
      <c r="K13" s="6" t="str">
        <f>IF(Tableau1742[[#This Row],[Libellé de la prestation de services]]="","",SUM(Tableau1742[[#This Row],[Mains d’œuvre avec charges sociales et patronales,]:[Charges locatives]]))</f>
        <v/>
      </c>
      <c r="L13" s="64"/>
      <c r="M13" s="64"/>
      <c r="N13" s="64"/>
      <c r="O13" s="64"/>
      <c r="P13" s="6" t="str">
        <f>IF(Tableau1742[[#This Row],[Libellé de la prestation de services]]="","",SUM(Tableau1354843[[#This Row],[Marketing]:[Livraison]]))</f>
        <v/>
      </c>
      <c r="Q13" s="63"/>
      <c r="R13" s="63"/>
      <c r="S13" s="63"/>
      <c r="T13" s="6" t="str">
        <f>IF(Tableau1742[[#This Row],[Libellé de la prestation de services]]="","",SUM(Tableau13455944[[#This Row],[services généraux]:[impôts]]))</f>
        <v/>
      </c>
      <c r="U13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3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3" s="10" t="str">
        <f>IF(Tableau1742[[#This Row],[Montant HT]]="","",Tableau134556571146[[#This Row],[Marge nette sur prestation ]]/Tableau1345561045[[#This Row],[Coût de revient unitaire]])</f>
        <v/>
      </c>
      <c r="X13" s="10" t="str">
        <f>IF(Tableau1742[[#This Row],[Montant HT]]="","",Tableau134556571146[[#This Row],[Marge nette sur prestation ]]/Tableau1742[[#This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IF(Tableau1742[[#This Row],[Libellé de la prestation de services]]="","",SUM(Tableau1742[[#This Row],[Matières premières]:[Frais de livraison liés aux achats]]))</f>
        <v/>
      </c>
      <c r="I14" s="63"/>
      <c r="J14" s="63"/>
      <c r="K14" s="6" t="str">
        <f>IF(Tableau1742[[#This Row],[Libellé de la prestation de services]]="","",SUM(Tableau1742[[#This Row],[Mains d’œuvre avec charges sociales et patronales,]:[Charges locatives]]))</f>
        <v/>
      </c>
      <c r="L14" s="64"/>
      <c r="M14" s="64"/>
      <c r="N14" s="64"/>
      <c r="O14" s="64"/>
      <c r="P14" s="6" t="str">
        <f>IF(Tableau1742[[#This Row],[Libellé de la prestation de services]]="","",SUM(Tableau1354843[[#This Row],[Marketing]:[Livraison]]))</f>
        <v/>
      </c>
      <c r="Q14" s="63"/>
      <c r="R14" s="63"/>
      <c r="S14" s="63"/>
      <c r="T14" s="6" t="str">
        <f>IF(Tableau1742[[#This Row],[Libellé de la prestation de services]]="","",SUM(Tableau13455944[[#This Row],[services généraux]:[impôts]]))</f>
        <v/>
      </c>
      <c r="U14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4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4" s="10" t="str">
        <f>IF(Tableau1742[[#This Row],[Montant HT]]="","",Tableau134556571146[[#This Row],[Marge nette sur prestation ]]/Tableau1345561045[[#This Row],[Coût de revient unitaire]])</f>
        <v/>
      </c>
      <c r="X14" s="10" t="str">
        <f>IF(Tableau1742[[#This Row],[Montant HT]]="","",Tableau134556571146[[#This Row],[Marge nette sur prestation ]]/Tableau1742[[#This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IF(Tableau1742[[#This Row],[Libellé de la prestation de services]]="","",SUM(Tableau1742[[#This Row],[Matières premières]:[Frais de livraison liés aux achats]]))</f>
        <v/>
      </c>
      <c r="I15" s="63"/>
      <c r="J15" s="63"/>
      <c r="K15" s="6" t="str">
        <f>IF(Tableau1742[[#This Row],[Libellé de la prestation de services]]="","",SUM(Tableau1742[[#This Row],[Mains d’œuvre avec charges sociales et patronales,]:[Charges locatives]]))</f>
        <v/>
      </c>
      <c r="L15" s="64"/>
      <c r="M15" s="64"/>
      <c r="N15" s="64"/>
      <c r="O15" s="64"/>
      <c r="P15" s="6" t="str">
        <f>IF(Tableau1742[[#This Row],[Libellé de la prestation de services]]="","",SUM(Tableau1354843[[#This Row],[Marketing]:[Livraison]]))</f>
        <v/>
      </c>
      <c r="Q15" s="63"/>
      <c r="R15" s="63"/>
      <c r="S15" s="63"/>
      <c r="T15" s="6" t="str">
        <f>IF(Tableau1742[[#This Row],[Libellé de la prestation de services]]="","",SUM(Tableau13455944[[#This Row],[services généraux]:[impôts]]))</f>
        <v/>
      </c>
      <c r="U15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5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5" s="10" t="str">
        <f>IF(Tableau1742[[#This Row],[Montant HT]]="","",Tableau134556571146[[#This Row],[Marge nette sur prestation ]]/Tableau1345561045[[#This Row],[Coût de revient unitaire]])</f>
        <v/>
      </c>
      <c r="X15" s="10" t="str">
        <f>IF(Tableau1742[[#This Row],[Montant HT]]="","",Tableau134556571146[[#This Row],[Marge nette sur prestation ]]/Tableau1742[[#This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IF(Tableau1742[[#This Row],[Libellé de la prestation de services]]="","",SUM(Tableau1742[[#This Row],[Matières premières]:[Frais de livraison liés aux achats]]))</f>
        <v/>
      </c>
      <c r="I16" s="63"/>
      <c r="J16" s="63"/>
      <c r="K16" s="6" t="str">
        <f>IF(Tableau1742[[#This Row],[Libellé de la prestation de services]]="","",SUM(Tableau1742[[#This Row],[Mains d’œuvre avec charges sociales et patronales,]:[Charges locatives]]))</f>
        <v/>
      </c>
      <c r="L16" s="64"/>
      <c r="M16" s="64"/>
      <c r="N16" s="64"/>
      <c r="O16" s="64"/>
      <c r="P16" s="6" t="str">
        <f>IF(Tableau1742[[#This Row],[Libellé de la prestation de services]]="","",SUM(Tableau1354843[[#This Row],[Marketing]:[Livraison]]))</f>
        <v/>
      </c>
      <c r="Q16" s="63"/>
      <c r="R16" s="63"/>
      <c r="S16" s="63"/>
      <c r="T16" s="6" t="str">
        <f>IF(Tableau1742[[#This Row],[Libellé de la prestation de services]]="","",SUM(Tableau13455944[[#This Row],[services généraux]:[impôts]]))</f>
        <v/>
      </c>
      <c r="U16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6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6" s="10" t="str">
        <f>IF(Tableau1742[[#This Row],[Montant HT]]="","",Tableau134556571146[[#This Row],[Marge nette sur prestation ]]/Tableau1345561045[[#This Row],[Coût de revient unitaire]])</f>
        <v/>
      </c>
      <c r="X16" s="10" t="str">
        <f>IF(Tableau1742[[#This Row],[Montant HT]]="","",Tableau134556571146[[#This Row],[Marge nette sur prestation ]]/Tableau1742[[#This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IF(Tableau1742[[#This Row],[Libellé de la prestation de services]]="","",SUM(Tableau1742[[#This Row],[Matières premières]:[Frais de livraison liés aux achats]]))</f>
        <v/>
      </c>
      <c r="I17" s="63"/>
      <c r="J17" s="63"/>
      <c r="K17" s="6" t="str">
        <f>IF(Tableau1742[[#This Row],[Libellé de la prestation de services]]="","",SUM(Tableau1742[[#This Row],[Mains d’œuvre avec charges sociales et patronales,]:[Charges locatives]]))</f>
        <v/>
      </c>
      <c r="L17" s="64"/>
      <c r="M17" s="64"/>
      <c r="N17" s="64"/>
      <c r="O17" s="64"/>
      <c r="P17" s="6" t="str">
        <f>IF(Tableau1742[[#This Row],[Libellé de la prestation de services]]="","",SUM(Tableau1354843[[#This Row],[Marketing]:[Livraison]]))</f>
        <v/>
      </c>
      <c r="Q17" s="63"/>
      <c r="R17" s="63"/>
      <c r="S17" s="63"/>
      <c r="T17" s="6" t="str">
        <f>IF(Tableau1742[[#This Row],[Libellé de la prestation de services]]="","",SUM(Tableau13455944[[#This Row],[services généraux]:[impôts]]))</f>
        <v/>
      </c>
      <c r="U17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7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7" s="10" t="str">
        <f>IF(Tableau1742[[#This Row],[Montant HT]]="","",Tableau134556571146[[#This Row],[Marge nette sur prestation ]]/Tableau1345561045[[#This Row],[Coût de revient unitaire]])</f>
        <v/>
      </c>
      <c r="X17" s="10" t="str">
        <f>IF(Tableau1742[[#This Row],[Montant HT]]="","",Tableau134556571146[[#This Row],[Marge nette sur prestation ]]/Tableau1742[[#This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IF(Tableau1742[[#This Row],[Libellé de la prestation de services]]="","",SUM(Tableau1742[[#This Row],[Matières premières]:[Frais de livraison liés aux achats]]))</f>
        <v/>
      </c>
      <c r="I18" s="63"/>
      <c r="J18" s="63"/>
      <c r="K18" s="6" t="str">
        <f>IF(Tableau1742[[#This Row],[Libellé de la prestation de services]]="","",SUM(Tableau1742[[#This Row],[Mains d’œuvre avec charges sociales et patronales,]:[Charges locatives]]))</f>
        <v/>
      </c>
      <c r="L18" s="64"/>
      <c r="M18" s="64"/>
      <c r="N18" s="64"/>
      <c r="O18" s="64"/>
      <c r="P18" s="6" t="str">
        <f>IF(Tableau1742[[#This Row],[Libellé de la prestation de services]]="","",SUM(Tableau1354843[[#This Row],[Marketing]:[Livraison]]))</f>
        <v/>
      </c>
      <c r="Q18" s="63"/>
      <c r="R18" s="63"/>
      <c r="S18" s="63"/>
      <c r="T18" s="6" t="str">
        <f>IF(Tableau1742[[#This Row],[Libellé de la prestation de services]]="","",SUM(Tableau13455944[[#This Row],[services généraux]:[impôts]]))</f>
        <v/>
      </c>
      <c r="U18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8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8" s="10" t="str">
        <f>IF(Tableau1742[[#This Row],[Montant HT]]="","",Tableau134556571146[[#This Row],[Marge nette sur prestation ]]/Tableau1345561045[[#This Row],[Coût de revient unitaire]])</f>
        <v/>
      </c>
      <c r="X18" s="10" t="str">
        <f>IF(Tableau1742[[#This Row],[Montant HT]]="","",Tableau134556571146[[#This Row],[Marge nette sur prestation ]]/Tableau1742[[#This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IF(Tableau1742[[#This Row],[Libellé de la prestation de services]]="","",SUM(Tableau1742[[#This Row],[Matières premières]:[Frais de livraison liés aux achats]]))</f>
        <v/>
      </c>
      <c r="I19" s="63"/>
      <c r="J19" s="63"/>
      <c r="K19" s="6" t="str">
        <f>IF(Tableau1742[[#This Row],[Libellé de la prestation de services]]="","",SUM(Tableau1742[[#This Row],[Mains d’œuvre avec charges sociales et patronales,]:[Charges locatives]]))</f>
        <v/>
      </c>
      <c r="L19" s="64"/>
      <c r="M19" s="64"/>
      <c r="N19" s="64"/>
      <c r="O19" s="64"/>
      <c r="P19" s="6" t="str">
        <f>IF(Tableau1742[[#This Row],[Libellé de la prestation de services]]="","",SUM(Tableau1354843[[#This Row],[Marketing]:[Livraison]]))</f>
        <v/>
      </c>
      <c r="Q19" s="63"/>
      <c r="R19" s="63"/>
      <c r="S19" s="63"/>
      <c r="T19" s="6" t="str">
        <f>IF(Tableau1742[[#This Row],[Libellé de la prestation de services]]="","",SUM(Tableau13455944[[#This Row],[services généraux]:[impôts]]))</f>
        <v/>
      </c>
      <c r="U19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19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19" s="10" t="str">
        <f>IF(Tableau1742[[#This Row],[Montant HT]]="","",Tableau134556571146[[#This Row],[Marge nette sur prestation ]]/Tableau1345561045[[#This Row],[Coût de revient unitaire]])</f>
        <v/>
      </c>
      <c r="X19" s="10" t="str">
        <f>IF(Tableau1742[[#This Row],[Montant HT]]="","",Tableau134556571146[[#This Row],[Marge nette sur prestation ]]/Tableau1742[[#This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IF(Tableau1742[[#This Row],[Libellé de la prestation de services]]="","",SUM(Tableau1742[[#This Row],[Matières premières]:[Frais de livraison liés aux achats]]))</f>
        <v/>
      </c>
      <c r="I20" s="63"/>
      <c r="J20" s="63"/>
      <c r="K20" s="6" t="str">
        <f>IF(Tableau1742[[#This Row],[Libellé de la prestation de services]]="","",SUM(Tableau1742[[#This Row],[Mains d’œuvre avec charges sociales et patronales,]:[Charges locatives]]))</f>
        <v/>
      </c>
      <c r="L20" s="64"/>
      <c r="M20" s="64"/>
      <c r="N20" s="64"/>
      <c r="O20" s="64"/>
      <c r="P20" s="6" t="str">
        <f>IF(Tableau1742[[#This Row],[Libellé de la prestation de services]]="","",SUM(Tableau1354843[[#This Row],[Marketing]:[Livraison]]))</f>
        <v/>
      </c>
      <c r="Q20" s="63"/>
      <c r="R20" s="63"/>
      <c r="S20" s="63"/>
      <c r="T20" s="6" t="str">
        <f>IF(Tableau1742[[#This Row],[Libellé de la prestation de services]]="","",SUM(Tableau13455944[[#This Row],[services généraux]:[impôts]]))</f>
        <v/>
      </c>
      <c r="U20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0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0" s="10" t="str">
        <f>IF(Tableau1742[[#This Row],[Montant HT]]="","",Tableau134556571146[[#This Row],[Marge nette sur prestation ]]/Tableau1345561045[[#This Row],[Coût de revient unitaire]])</f>
        <v/>
      </c>
      <c r="X20" s="10" t="str">
        <f>IF(Tableau1742[[#This Row],[Montant HT]]="","",Tableau134556571146[[#This Row],[Marge nette sur prestation ]]/Tableau1742[[#This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IF(Tableau1742[[#This Row],[Libellé de la prestation de services]]="","",SUM(Tableau1742[[#This Row],[Matières premières]:[Frais de livraison liés aux achats]]))</f>
        <v/>
      </c>
      <c r="I21" s="63"/>
      <c r="J21" s="63"/>
      <c r="K21" s="6" t="str">
        <f>IF(Tableau1742[[#This Row],[Libellé de la prestation de services]]="","",SUM(Tableau1742[[#This Row],[Mains d’œuvre avec charges sociales et patronales,]:[Charges locatives]]))</f>
        <v/>
      </c>
      <c r="L21" s="64"/>
      <c r="M21" s="64"/>
      <c r="N21" s="64"/>
      <c r="O21" s="64"/>
      <c r="P21" s="6" t="str">
        <f>IF(Tableau1742[[#This Row],[Libellé de la prestation de services]]="","",SUM(Tableau1354843[[#This Row],[Marketing]:[Livraison]]))</f>
        <v/>
      </c>
      <c r="Q21" s="63"/>
      <c r="R21" s="63"/>
      <c r="S21" s="63"/>
      <c r="T21" s="6" t="str">
        <f>IF(Tableau1742[[#This Row],[Libellé de la prestation de services]]="","",SUM(Tableau13455944[[#This Row],[services généraux]:[impôts]]))</f>
        <v/>
      </c>
      <c r="U21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1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1" s="10" t="str">
        <f>IF(Tableau1742[[#This Row],[Montant HT]]="","",Tableau134556571146[[#This Row],[Marge nette sur prestation ]]/Tableau1345561045[[#This Row],[Coût de revient unitaire]])</f>
        <v/>
      </c>
      <c r="X21" s="10" t="str">
        <f>IF(Tableau1742[[#This Row],[Montant HT]]="","",Tableau134556571146[[#This Row],[Marge nette sur prestation ]]/Tableau1742[[#This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IF(Tableau1742[[#This Row],[Libellé de la prestation de services]]="","",SUM(Tableau1742[[#This Row],[Matières premières]:[Frais de livraison liés aux achats]]))</f>
        <v/>
      </c>
      <c r="I22" s="63"/>
      <c r="J22" s="63"/>
      <c r="K22" s="6" t="str">
        <f>IF(Tableau1742[[#This Row],[Libellé de la prestation de services]]="","",SUM(Tableau1742[[#This Row],[Mains d’œuvre avec charges sociales et patronales,]:[Charges locatives]]))</f>
        <v/>
      </c>
      <c r="L22" s="64"/>
      <c r="M22" s="64"/>
      <c r="N22" s="64"/>
      <c r="O22" s="64"/>
      <c r="P22" s="6" t="str">
        <f>IF(Tableau1742[[#This Row],[Libellé de la prestation de services]]="","",SUM(Tableau1354843[[#This Row],[Marketing]:[Livraison]]))</f>
        <v/>
      </c>
      <c r="Q22" s="63"/>
      <c r="R22" s="63"/>
      <c r="S22" s="63"/>
      <c r="T22" s="6" t="str">
        <f>IF(Tableau1742[[#This Row],[Libellé de la prestation de services]]="","",SUM(Tableau13455944[[#This Row],[services généraux]:[impôts]]))</f>
        <v/>
      </c>
      <c r="U22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2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2" s="10" t="str">
        <f>IF(Tableau1742[[#This Row],[Montant HT]]="","",Tableau134556571146[[#This Row],[Marge nette sur prestation ]]/Tableau1345561045[[#This Row],[Coût de revient unitaire]])</f>
        <v/>
      </c>
      <c r="X22" s="10" t="str">
        <f>IF(Tableau1742[[#This Row],[Montant HT]]="","",Tableau134556571146[[#This Row],[Marge nette sur prestation ]]/Tableau1742[[#This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IF(Tableau1742[[#This Row],[Libellé de la prestation de services]]="","",SUM(Tableau1742[[#This Row],[Matières premières]:[Frais de livraison liés aux achats]]))</f>
        <v/>
      </c>
      <c r="I23" s="63"/>
      <c r="J23" s="63"/>
      <c r="K23" s="6" t="str">
        <f>IF(Tableau1742[[#This Row],[Libellé de la prestation de services]]="","",SUM(Tableau1742[[#This Row],[Mains d’œuvre avec charges sociales et patronales,]:[Charges locatives]]))</f>
        <v/>
      </c>
      <c r="L23" s="64"/>
      <c r="M23" s="64"/>
      <c r="N23" s="64"/>
      <c r="O23" s="64"/>
      <c r="P23" s="6" t="str">
        <f>IF(Tableau1742[[#This Row],[Libellé de la prestation de services]]="","",SUM(Tableau1354843[[#This Row],[Marketing]:[Livraison]]))</f>
        <v/>
      </c>
      <c r="Q23" s="63"/>
      <c r="R23" s="63"/>
      <c r="S23" s="63"/>
      <c r="T23" s="6" t="str">
        <f>IF(Tableau1742[[#This Row],[Libellé de la prestation de services]]="","",SUM(Tableau13455944[[#This Row],[services généraux]:[impôts]]))</f>
        <v/>
      </c>
      <c r="U23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3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3" s="10" t="str">
        <f>IF(Tableau1742[[#This Row],[Montant HT]]="","",Tableau134556571146[[#This Row],[Marge nette sur prestation ]]/Tableau1345561045[[#This Row],[Coût de revient unitaire]])</f>
        <v/>
      </c>
      <c r="X23" s="10" t="str">
        <f>IF(Tableau1742[[#This Row],[Montant HT]]="","",Tableau134556571146[[#This Row],[Marge nette sur prestation ]]/Tableau1742[[#This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IF(Tableau1742[[#This Row],[Libellé de la prestation de services]]="","",SUM(Tableau1742[[#This Row],[Matières premières]:[Frais de livraison liés aux achats]]))</f>
        <v/>
      </c>
      <c r="I24" s="63"/>
      <c r="J24" s="63"/>
      <c r="K24" s="6" t="str">
        <f>IF(Tableau1742[[#This Row],[Libellé de la prestation de services]]="","",SUM(Tableau1742[[#This Row],[Mains d’œuvre avec charges sociales et patronales,]:[Charges locatives]]))</f>
        <v/>
      </c>
      <c r="L24" s="64"/>
      <c r="M24" s="64"/>
      <c r="N24" s="64"/>
      <c r="O24" s="64"/>
      <c r="P24" s="6" t="str">
        <f>IF(Tableau1742[[#This Row],[Libellé de la prestation de services]]="","",SUM(Tableau1354843[[#This Row],[Marketing]:[Livraison]]))</f>
        <v/>
      </c>
      <c r="Q24" s="63"/>
      <c r="R24" s="63"/>
      <c r="S24" s="63"/>
      <c r="T24" s="6" t="str">
        <f>IF(Tableau1742[[#This Row],[Libellé de la prestation de services]]="","",SUM(Tableau13455944[[#This Row],[services généraux]:[impôts]]))</f>
        <v/>
      </c>
      <c r="U24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4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4" s="10" t="str">
        <f>IF(Tableau1742[[#This Row],[Montant HT]]="","",Tableau134556571146[[#This Row],[Marge nette sur prestation ]]/Tableau1345561045[[#This Row],[Coût de revient unitaire]])</f>
        <v/>
      </c>
      <c r="X24" s="10" t="str">
        <f>IF(Tableau1742[[#This Row],[Montant HT]]="","",Tableau134556571146[[#This Row],[Marge nette sur prestation ]]/Tableau1742[[#This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IF(Tableau1742[[#This Row],[Libellé de la prestation de services]]="","",SUM(Tableau1742[[#This Row],[Matières premières]:[Frais de livraison liés aux achats]]))</f>
        <v/>
      </c>
      <c r="I25" s="63"/>
      <c r="J25" s="63"/>
      <c r="K25" s="6" t="str">
        <f>IF(Tableau1742[[#This Row],[Libellé de la prestation de services]]="","",SUM(Tableau1742[[#This Row],[Mains d’œuvre avec charges sociales et patronales,]:[Charges locatives]]))</f>
        <v/>
      </c>
      <c r="L25" s="64"/>
      <c r="M25" s="64"/>
      <c r="N25" s="64"/>
      <c r="O25" s="64"/>
      <c r="P25" s="6" t="str">
        <f>IF(Tableau1742[[#This Row],[Libellé de la prestation de services]]="","",SUM(Tableau1354843[[#This Row],[Marketing]:[Livraison]]))</f>
        <v/>
      </c>
      <c r="Q25" s="63"/>
      <c r="R25" s="63"/>
      <c r="S25" s="63"/>
      <c r="T25" s="6" t="str">
        <f>IF(Tableau1742[[#This Row],[Libellé de la prestation de services]]="","",SUM(Tableau13455944[[#This Row],[services généraux]:[impôts]]))</f>
        <v/>
      </c>
      <c r="U25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5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5" s="10" t="str">
        <f>IF(Tableau1742[[#This Row],[Montant HT]]="","",Tableau134556571146[[#This Row],[Marge nette sur prestation ]]/Tableau1345561045[[#This Row],[Coût de revient unitaire]])</f>
        <v/>
      </c>
      <c r="X25" s="10" t="str">
        <f>IF(Tableau1742[[#This Row],[Montant HT]]="","",Tableau134556571146[[#This Row],[Marge nette sur prestation ]]/Tableau1742[[#This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IF(Tableau1742[[#This Row],[Libellé de la prestation de services]]="","",SUM(Tableau1742[[#This Row],[Matières premières]:[Frais de livraison liés aux achats]]))</f>
        <v/>
      </c>
      <c r="I26" s="63"/>
      <c r="J26" s="63"/>
      <c r="K26" s="6" t="str">
        <f>IF(Tableau1742[[#This Row],[Libellé de la prestation de services]]="","",SUM(Tableau1742[[#This Row],[Mains d’œuvre avec charges sociales et patronales,]:[Charges locatives]]))</f>
        <v/>
      </c>
      <c r="L26" s="64"/>
      <c r="M26" s="64"/>
      <c r="N26" s="64"/>
      <c r="O26" s="64"/>
      <c r="P26" s="6" t="str">
        <f>IF(Tableau1742[[#This Row],[Libellé de la prestation de services]]="","",SUM(Tableau1354843[[#This Row],[Marketing]:[Livraison]]))</f>
        <v/>
      </c>
      <c r="Q26" s="63"/>
      <c r="R26" s="63"/>
      <c r="S26" s="63"/>
      <c r="T26" s="6" t="str">
        <f>IF(Tableau1742[[#This Row],[Libellé de la prestation de services]]="","",SUM(Tableau13455944[[#This Row],[services généraux]:[impôts]]))</f>
        <v/>
      </c>
      <c r="U26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6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6" s="10" t="str">
        <f>IF(Tableau1742[[#This Row],[Montant HT]]="","",Tableau134556571146[[#This Row],[Marge nette sur prestation ]]/Tableau1345561045[[#This Row],[Coût de revient unitaire]])</f>
        <v/>
      </c>
      <c r="X26" s="10" t="str">
        <f>IF(Tableau1742[[#This Row],[Montant HT]]="","",Tableau134556571146[[#This Row],[Marge nette sur prestation ]]/Tableau1742[[#This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IF(Tableau1742[[#This Row],[Libellé de la prestation de services]]="","",SUM(Tableau1742[[#This Row],[Matières premières]:[Frais de livraison liés aux achats]]))</f>
        <v/>
      </c>
      <c r="I27" s="63"/>
      <c r="J27" s="63"/>
      <c r="K27" s="6" t="str">
        <f>IF(Tableau1742[[#This Row],[Libellé de la prestation de services]]="","",SUM(Tableau1742[[#This Row],[Mains d’œuvre avec charges sociales et patronales,]:[Charges locatives]]))</f>
        <v/>
      </c>
      <c r="L27" s="64"/>
      <c r="M27" s="64"/>
      <c r="N27" s="64"/>
      <c r="O27" s="64"/>
      <c r="P27" s="6" t="str">
        <f>IF(Tableau1742[[#This Row],[Libellé de la prestation de services]]="","",SUM(Tableau1354843[[#This Row],[Marketing]:[Livraison]]))</f>
        <v/>
      </c>
      <c r="Q27" s="63"/>
      <c r="R27" s="63"/>
      <c r="S27" s="63"/>
      <c r="T27" s="6" t="str">
        <f>IF(Tableau1742[[#This Row],[Libellé de la prestation de services]]="","",SUM(Tableau13455944[[#This Row],[services généraux]:[impôts]]))</f>
        <v/>
      </c>
      <c r="U27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7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7" s="10" t="str">
        <f>IF(Tableau1742[[#This Row],[Montant HT]]="","",Tableau134556571146[[#This Row],[Marge nette sur prestation ]]/Tableau1345561045[[#This Row],[Coût de revient unitaire]])</f>
        <v/>
      </c>
      <c r="X27" s="10" t="str">
        <f>IF(Tableau1742[[#This Row],[Montant HT]]="","",Tableau134556571146[[#This Row],[Marge nette sur prestation ]]/Tableau1742[[#This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IF(Tableau1742[[#This Row],[Libellé de la prestation de services]]="","",SUM(Tableau1742[[#This Row],[Matières premières]:[Frais de livraison liés aux achats]]))</f>
        <v/>
      </c>
      <c r="I28" s="63"/>
      <c r="J28" s="63"/>
      <c r="K28" s="6" t="str">
        <f>IF(Tableau1742[[#This Row],[Libellé de la prestation de services]]="","",SUM(Tableau1742[[#This Row],[Mains d’œuvre avec charges sociales et patronales,]:[Charges locatives]]))</f>
        <v/>
      </c>
      <c r="L28" s="64"/>
      <c r="M28" s="64"/>
      <c r="N28" s="64"/>
      <c r="O28" s="64"/>
      <c r="P28" s="6" t="str">
        <f>IF(Tableau1742[[#This Row],[Libellé de la prestation de services]]="","",SUM(Tableau1354843[[#This Row],[Marketing]:[Livraison]]))</f>
        <v/>
      </c>
      <c r="Q28" s="63"/>
      <c r="R28" s="63"/>
      <c r="S28" s="63"/>
      <c r="T28" s="6" t="str">
        <f>IF(Tableau1742[[#This Row],[Libellé de la prestation de services]]="","",SUM(Tableau13455944[[#This Row],[services généraux]:[impôts]]))</f>
        <v/>
      </c>
      <c r="U28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8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8" s="10" t="str">
        <f>IF(Tableau1742[[#This Row],[Montant HT]]="","",Tableau134556571146[[#This Row],[Marge nette sur prestation ]]/Tableau1345561045[[#This Row],[Coût de revient unitaire]])</f>
        <v/>
      </c>
      <c r="X28" s="10" t="str">
        <f>IF(Tableau1742[[#This Row],[Montant HT]]="","",Tableau134556571146[[#This Row],[Marge nette sur prestation ]]/Tableau1742[[#This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IF(Tableau1742[[#This Row],[Libellé de la prestation de services]]="","",SUM(Tableau1742[[#This Row],[Matières premières]:[Frais de livraison liés aux achats]]))</f>
        <v/>
      </c>
      <c r="I29" s="63"/>
      <c r="J29" s="63"/>
      <c r="K29" s="6" t="str">
        <f>IF(Tableau1742[[#This Row],[Libellé de la prestation de services]]="","",SUM(Tableau1742[[#This Row],[Mains d’œuvre avec charges sociales et patronales,]:[Charges locatives]]))</f>
        <v/>
      </c>
      <c r="L29" s="64"/>
      <c r="M29" s="64"/>
      <c r="N29" s="64"/>
      <c r="O29" s="64"/>
      <c r="P29" s="6" t="str">
        <f>IF(Tableau1742[[#This Row],[Libellé de la prestation de services]]="","",SUM(Tableau1354843[[#This Row],[Marketing]:[Livraison]]))</f>
        <v/>
      </c>
      <c r="Q29" s="63"/>
      <c r="R29" s="63"/>
      <c r="S29" s="63"/>
      <c r="T29" s="6" t="str">
        <f>IF(Tableau1742[[#This Row],[Libellé de la prestation de services]]="","",SUM(Tableau13455944[[#This Row],[services généraux]:[impôts]]))</f>
        <v/>
      </c>
      <c r="U29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29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29" s="10" t="str">
        <f>IF(Tableau1742[[#This Row],[Montant HT]]="","",Tableau134556571146[[#This Row],[Marge nette sur prestation ]]/Tableau1345561045[[#This Row],[Coût de revient unitaire]])</f>
        <v/>
      </c>
      <c r="X29" s="10" t="str">
        <f>IF(Tableau1742[[#This Row],[Montant HT]]="","",Tableau134556571146[[#This Row],[Marge nette sur prestation ]]/Tableau1742[[#This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IF(Tableau1742[[#This Row],[Libellé de la prestation de services]]="","",SUM(Tableau1742[[#This Row],[Matières premières]:[Frais de livraison liés aux achats]]))</f>
        <v/>
      </c>
      <c r="I30" s="63"/>
      <c r="J30" s="63"/>
      <c r="K30" s="6" t="str">
        <f>IF(Tableau1742[[#This Row],[Libellé de la prestation de services]]="","",SUM(Tableau1742[[#This Row],[Mains d’œuvre avec charges sociales et patronales,]:[Charges locatives]]))</f>
        <v/>
      </c>
      <c r="L30" s="64"/>
      <c r="M30" s="64"/>
      <c r="N30" s="64"/>
      <c r="O30" s="64"/>
      <c r="P30" s="6" t="str">
        <f>IF(Tableau1742[[#This Row],[Libellé de la prestation de services]]="","",SUM(Tableau1354843[[#This Row],[Marketing]:[Livraison]]))</f>
        <v/>
      </c>
      <c r="Q30" s="63"/>
      <c r="R30" s="63"/>
      <c r="S30" s="63"/>
      <c r="T30" s="6" t="str">
        <f>IF(Tableau1742[[#This Row],[Libellé de la prestation de services]]="","",SUM(Tableau13455944[[#This Row],[services généraux]:[impôts]]))</f>
        <v/>
      </c>
      <c r="U30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0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0" s="10" t="str">
        <f>IF(Tableau1742[[#This Row],[Montant HT]]="","",Tableau134556571146[[#This Row],[Marge nette sur prestation ]]/Tableau1345561045[[#This Row],[Coût de revient unitaire]])</f>
        <v/>
      </c>
      <c r="X30" s="10" t="str">
        <f>IF(Tableau1742[[#This Row],[Montant HT]]="","",Tableau134556571146[[#This Row],[Marge nette sur prestation ]]/Tableau1742[[#This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IF(Tableau1742[[#This Row],[Libellé de la prestation de services]]="","",SUM(Tableau1742[[#This Row],[Matières premières]:[Frais de livraison liés aux achats]]))</f>
        <v/>
      </c>
      <c r="I31" s="63"/>
      <c r="J31" s="63"/>
      <c r="K31" s="6" t="str">
        <f>IF(Tableau1742[[#This Row],[Libellé de la prestation de services]]="","",SUM(Tableau1742[[#This Row],[Mains d’œuvre avec charges sociales et patronales,]:[Charges locatives]]))</f>
        <v/>
      </c>
      <c r="L31" s="64"/>
      <c r="M31" s="64"/>
      <c r="N31" s="64"/>
      <c r="O31" s="64"/>
      <c r="P31" s="6" t="str">
        <f>IF(Tableau1742[[#This Row],[Libellé de la prestation de services]]="","",SUM(Tableau1354843[[#This Row],[Marketing]:[Livraison]]))</f>
        <v/>
      </c>
      <c r="Q31" s="63"/>
      <c r="R31" s="63"/>
      <c r="S31" s="63"/>
      <c r="T31" s="6" t="str">
        <f>IF(Tableau1742[[#This Row],[Libellé de la prestation de services]]="","",SUM(Tableau13455944[[#This Row],[services généraux]:[impôts]]))</f>
        <v/>
      </c>
      <c r="U31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1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1" s="10" t="str">
        <f>IF(Tableau1742[[#This Row],[Montant HT]]="","",Tableau134556571146[[#This Row],[Marge nette sur prestation ]]/Tableau1345561045[[#This Row],[Coût de revient unitaire]])</f>
        <v/>
      </c>
      <c r="X31" s="10" t="str">
        <f>IF(Tableau1742[[#This Row],[Montant HT]]="","",Tableau134556571146[[#This Row],[Marge nette sur prestation ]]/Tableau1742[[#This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IF(Tableau1742[[#This Row],[Libellé de la prestation de services]]="","",SUM(Tableau1742[[#This Row],[Matières premières]:[Frais de livraison liés aux achats]]))</f>
        <v/>
      </c>
      <c r="I32" s="63"/>
      <c r="J32" s="63"/>
      <c r="K32" s="6" t="str">
        <f>IF(Tableau1742[[#This Row],[Libellé de la prestation de services]]="","",SUM(Tableau1742[[#This Row],[Mains d’œuvre avec charges sociales et patronales,]:[Charges locatives]]))</f>
        <v/>
      </c>
      <c r="L32" s="64"/>
      <c r="M32" s="64"/>
      <c r="N32" s="64"/>
      <c r="O32" s="64"/>
      <c r="P32" s="6" t="str">
        <f>IF(Tableau1742[[#This Row],[Libellé de la prestation de services]]="","",SUM(Tableau1354843[[#This Row],[Marketing]:[Livraison]]))</f>
        <v/>
      </c>
      <c r="Q32" s="63"/>
      <c r="R32" s="63"/>
      <c r="S32" s="63"/>
      <c r="T32" s="6" t="str">
        <f>IF(Tableau1742[[#This Row],[Libellé de la prestation de services]]="","",SUM(Tableau13455944[[#This Row],[services généraux]:[impôts]]))</f>
        <v/>
      </c>
      <c r="U32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2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2" s="10" t="str">
        <f>IF(Tableau1742[[#This Row],[Montant HT]]="","",Tableau134556571146[[#This Row],[Marge nette sur prestation ]]/Tableau1345561045[[#This Row],[Coût de revient unitaire]])</f>
        <v/>
      </c>
      <c r="X32" s="10" t="str">
        <f>IF(Tableau1742[[#This Row],[Montant HT]]="","",Tableau134556571146[[#This Row],[Marge nette sur prestation ]]/Tableau1742[[#This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IF(Tableau1742[[#This Row],[Libellé de la prestation de services]]="","",SUM(Tableau1742[[#This Row],[Matières premières]:[Frais de livraison liés aux achats]]))</f>
        <v/>
      </c>
      <c r="I33" s="63"/>
      <c r="J33" s="63"/>
      <c r="K33" s="6" t="str">
        <f>IF(Tableau1742[[#This Row],[Libellé de la prestation de services]]="","",SUM(Tableau1742[[#This Row],[Mains d’œuvre avec charges sociales et patronales,]:[Charges locatives]]))</f>
        <v/>
      </c>
      <c r="L33" s="64"/>
      <c r="M33" s="64"/>
      <c r="N33" s="64"/>
      <c r="O33" s="64"/>
      <c r="P33" s="6" t="str">
        <f>IF(Tableau1742[[#This Row],[Libellé de la prestation de services]]="","",SUM(Tableau1354843[[#This Row],[Marketing]:[Livraison]]))</f>
        <v/>
      </c>
      <c r="Q33" s="63"/>
      <c r="R33" s="63"/>
      <c r="S33" s="63"/>
      <c r="T33" s="6" t="str">
        <f>IF(Tableau1742[[#This Row],[Libellé de la prestation de services]]="","",SUM(Tableau13455944[[#This Row],[services généraux]:[impôts]]))</f>
        <v/>
      </c>
      <c r="U33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3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3" s="10" t="str">
        <f>IF(Tableau1742[[#This Row],[Montant HT]]="","",Tableau134556571146[[#This Row],[Marge nette sur prestation ]]/Tableau1345561045[[#This Row],[Coût de revient unitaire]])</f>
        <v/>
      </c>
      <c r="X33" s="10" t="str">
        <f>IF(Tableau1742[[#This Row],[Montant HT]]="","",Tableau134556571146[[#This Row],[Marge nette sur prestation ]]/Tableau1742[[#This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IF(Tableau1742[[#This Row],[Libellé de la prestation de services]]="","",SUM(Tableau1742[[#This Row],[Matières premières]:[Frais de livraison liés aux achats]]))</f>
        <v/>
      </c>
      <c r="I34" s="63"/>
      <c r="J34" s="63"/>
      <c r="K34" s="6" t="str">
        <f>IF(Tableau1742[[#This Row],[Libellé de la prestation de services]]="","",SUM(Tableau1742[[#This Row],[Mains d’œuvre avec charges sociales et patronales,]:[Charges locatives]]))</f>
        <v/>
      </c>
      <c r="L34" s="64"/>
      <c r="M34" s="64"/>
      <c r="N34" s="64"/>
      <c r="O34" s="64"/>
      <c r="P34" s="6" t="str">
        <f>IF(Tableau1742[[#This Row],[Libellé de la prestation de services]]="","",SUM(Tableau1354843[[#This Row],[Marketing]:[Livraison]]))</f>
        <v/>
      </c>
      <c r="Q34" s="63"/>
      <c r="R34" s="63"/>
      <c r="S34" s="63"/>
      <c r="T34" s="6" t="str">
        <f>IF(Tableau1742[[#This Row],[Libellé de la prestation de services]]="","",SUM(Tableau13455944[[#This Row],[services généraux]:[impôts]]))</f>
        <v/>
      </c>
      <c r="U34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4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4" s="10" t="str">
        <f>IF(Tableau1742[[#This Row],[Montant HT]]="","",Tableau134556571146[[#This Row],[Marge nette sur prestation ]]/Tableau1345561045[[#This Row],[Coût de revient unitaire]])</f>
        <v/>
      </c>
      <c r="X34" s="10" t="str">
        <f>IF(Tableau1742[[#This Row],[Montant HT]]="","",Tableau134556571146[[#This Row],[Marge nette sur prestation ]]/Tableau1742[[#This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IF(Tableau1742[[#This Row],[Libellé de la prestation de services]]="","",SUM(Tableau1742[[#This Row],[Matières premières]:[Frais de livraison liés aux achats]]))</f>
        <v/>
      </c>
      <c r="I35" s="63"/>
      <c r="J35" s="63"/>
      <c r="K35" s="6" t="str">
        <f>IF(Tableau1742[[#This Row],[Libellé de la prestation de services]]="","",SUM(Tableau1742[[#This Row],[Mains d’œuvre avec charges sociales et patronales,]:[Charges locatives]]))</f>
        <v/>
      </c>
      <c r="L35" s="64"/>
      <c r="M35" s="64"/>
      <c r="N35" s="64"/>
      <c r="O35" s="64"/>
      <c r="P35" s="6" t="str">
        <f>IF(Tableau1742[[#This Row],[Libellé de la prestation de services]]="","",SUM(Tableau1354843[[#This Row],[Marketing]:[Livraison]]))</f>
        <v/>
      </c>
      <c r="Q35" s="63"/>
      <c r="R35" s="63"/>
      <c r="S35" s="63"/>
      <c r="T35" s="6" t="str">
        <f>IF(Tableau1742[[#This Row],[Libellé de la prestation de services]]="","",SUM(Tableau13455944[[#This Row],[services généraux]:[impôts]]))</f>
        <v/>
      </c>
      <c r="U35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5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5" s="10" t="str">
        <f>IF(Tableau1742[[#This Row],[Montant HT]]="","",Tableau134556571146[[#This Row],[Marge nette sur prestation ]]/Tableau1345561045[[#This Row],[Coût de revient unitaire]])</f>
        <v/>
      </c>
      <c r="X35" s="10" t="str">
        <f>IF(Tableau1742[[#This Row],[Montant HT]]="","",Tableau134556571146[[#This Row],[Marge nette sur prestation ]]/Tableau1742[[#This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IF(Tableau1742[[#This Row],[Libellé de la prestation de services]]="","",SUM(Tableau1742[[#This Row],[Matières premières]:[Frais de livraison liés aux achats]]))</f>
        <v/>
      </c>
      <c r="I36" s="63"/>
      <c r="J36" s="63"/>
      <c r="K36" s="6" t="str">
        <f>IF(Tableau1742[[#This Row],[Libellé de la prestation de services]]="","",SUM(Tableau1742[[#This Row],[Mains d’œuvre avec charges sociales et patronales,]:[Charges locatives]]))</f>
        <v/>
      </c>
      <c r="L36" s="64"/>
      <c r="M36" s="64"/>
      <c r="N36" s="64"/>
      <c r="O36" s="64"/>
      <c r="P36" s="6" t="str">
        <f>IF(Tableau1742[[#This Row],[Libellé de la prestation de services]]="","",SUM(Tableau1354843[[#This Row],[Marketing]:[Livraison]]))</f>
        <v/>
      </c>
      <c r="Q36" s="63"/>
      <c r="R36" s="63"/>
      <c r="S36" s="63"/>
      <c r="T36" s="6" t="str">
        <f>IF(Tableau1742[[#This Row],[Libellé de la prestation de services]]="","",SUM(Tableau13455944[[#This Row],[services généraux]:[impôts]]))</f>
        <v/>
      </c>
      <c r="U36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6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6" s="10" t="str">
        <f>IF(Tableau1742[[#This Row],[Montant HT]]="","",Tableau134556571146[[#This Row],[Marge nette sur prestation ]]/Tableau1345561045[[#This Row],[Coût de revient unitaire]])</f>
        <v/>
      </c>
      <c r="X36" s="10" t="str">
        <f>IF(Tableau1742[[#This Row],[Montant HT]]="","",Tableau134556571146[[#This Row],[Marge nette sur prestation ]]/Tableau1742[[#This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IF(Tableau1742[[#This Row],[Libellé de la prestation de services]]="","",SUM(Tableau1742[[#This Row],[Matières premières]:[Frais de livraison liés aux achats]]))</f>
        <v/>
      </c>
      <c r="I37" s="63"/>
      <c r="J37" s="63"/>
      <c r="K37" s="6" t="str">
        <f>IF(Tableau1742[[#This Row],[Libellé de la prestation de services]]="","",SUM(Tableau1742[[#This Row],[Mains d’œuvre avec charges sociales et patronales,]:[Charges locatives]]))</f>
        <v/>
      </c>
      <c r="L37" s="64"/>
      <c r="M37" s="64"/>
      <c r="N37" s="64"/>
      <c r="O37" s="64"/>
      <c r="P37" s="6" t="str">
        <f>IF(Tableau1742[[#This Row],[Libellé de la prestation de services]]="","",SUM(Tableau1354843[[#This Row],[Marketing]:[Livraison]]))</f>
        <v/>
      </c>
      <c r="Q37" s="63"/>
      <c r="R37" s="63"/>
      <c r="S37" s="63"/>
      <c r="T37" s="6" t="str">
        <f>IF(Tableau1742[[#This Row],[Libellé de la prestation de services]]="","",SUM(Tableau13455944[[#This Row],[services généraux]:[impôts]]))</f>
        <v/>
      </c>
      <c r="U37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7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7" s="10" t="str">
        <f>IF(Tableau1742[[#This Row],[Montant HT]]="","",Tableau134556571146[[#This Row],[Marge nette sur prestation ]]/Tableau1345561045[[#This Row],[Coût de revient unitaire]])</f>
        <v/>
      </c>
      <c r="X37" s="10" t="str">
        <f>IF(Tableau1742[[#This Row],[Montant HT]]="","",Tableau134556571146[[#This Row],[Marge nette sur prestation ]]/Tableau1742[[#This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IF(Tableau1742[[#This Row],[Libellé de la prestation de services]]="","",SUM(Tableau1742[[#This Row],[Matières premières]:[Frais de livraison liés aux achats]]))</f>
        <v/>
      </c>
      <c r="I38" s="63"/>
      <c r="J38" s="63"/>
      <c r="K38" s="6" t="str">
        <f>IF(Tableau1742[[#This Row],[Libellé de la prestation de services]]="","",SUM(Tableau1742[[#This Row],[Mains d’œuvre avec charges sociales et patronales,]:[Charges locatives]]))</f>
        <v/>
      </c>
      <c r="L38" s="64"/>
      <c r="M38" s="64"/>
      <c r="N38" s="64"/>
      <c r="O38" s="64"/>
      <c r="P38" s="6" t="str">
        <f>IF(Tableau1742[[#This Row],[Libellé de la prestation de services]]="","",SUM(Tableau1354843[[#This Row],[Marketing]:[Livraison]]))</f>
        <v/>
      </c>
      <c r="Q38" s="63"/>
      <c r="R38" s="63"/>
      <c r="S38" s="63"/>
      <c r="T38" s="6" t="str">
        <f>IF(Tableau1742[[#This Row],[Libellé de la prestation de services]]="","",SUM(Tableau13455944[[#This Row],[services généraux]:[impôts]]))</f>
        <v/>
      </c>
      <c r="U38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8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8" s="10" t="str">
        <f>IF(Tableau1742[[#This Row],[Montant HT]]="","",Tableau134556571146[[#This Row],[Marge nette sur prestation ]]/Tableau1345561045[[#This Row],[Coût de revient unitaire]])</f>
        <v/>
      </c>
      <c r="X38" s="10" t="str">
        <f>IF(Tableau1742[[#This Row],[Montant HT]]="","",Tableau134556571146[[#This Row],[Marge nette sur prestation ]]/Tableau1742[[#This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IF(Tableau1742[[#This Row],[Libellé de la prestation de services]]="","",SUM(Tableau1742[[#This Row],[Matières premières]:[Frais de livraison liés aux achats]]))</f>
        <v/>
      </c>
      <c r="I39" s="63"/>
      <c r="J39" s="63"/>
      <c r="K39" s="6" t="str">
        <f>IF(Tableau1742[[#This Row],[Libellé de la prestation de services]]="","",SUM(Tableau1742[[#This Row],[Mains d’œuvre avec charges sociales et patronales,]:[Charges locatives]]))</f>
        <v/>
      </c>
      <c r="L39" s="64"/>
      <c r="M39" s="64"/>
      <c r="N39" s="64"/>
      <c r="O39" s="64"/>
      <c r="P39" s="6" t="str">
        <f>IF(Tableau1742[[#This Row],[Libellé de la prestation de services]]="","",SUM(Tableau1354843[[#This Row],[Marketing]:[Livraison]]))</f>
        <v/>
      </c>
      <c r="Q39" s="63"/>
      <c r="R39" s="63"/>
      <c r="S39" s="63"/>
      <c r="T39" s="6" t="str">
        <f>IF(Tableau1742[[#This Row],[Libellé de la prestation de services]]="","",SUM(Tableau13455944[[#This Row],[services généraux]:[impôts]]))</f>
        <v/>
      </c>
      <c r="U39" s="9" t="str">
        <f>IF(Tableau1742[[#This Row],[Libellé de la prestation de services]]="","",Tableau1742[[#This Row],[Couts d''achat et d''approvisionnement]]+Tableau1354843[[#This Row],[Coûts de production]]+Tableau13455944[[#This Row],[Coûts de commercialisation et distribution]]+Tableau1345561045[[#This Row],[Coûts administratifs]])</f>
        <v/>
      </c>
      <c r="V39" s="9" t="str">
        <f>IF(Tableau1742[[#This Row],[Libellé de la prestation de services]]="","",Tableau1742[[#This Row],[Montant HT]]-Tableau1354843[[#This Row],[Coûts de production]]-Tableau13455944[[#This Row],[Coûts de commercialisation et distribution]]-Tableau1345561045[[#This Row],[Coûts administratifs]])</f>
        <v/>
      </c>
      <c r="W39" s="10" t="str">
        <f>IF(Tableau1742[[#This Row],[Montant HT]]="","",Tableau134556571146[[#This Row],[Marge nette sur prestation ]]/Tableau1345561045[[#This Row],[Coût de revient unitaire]])</f>
        <v/>
      </c>
      <c r="X39" s="10" t="str">
        <f>IF(Tableau1742[[#This Row],[Montant HT]]="","",Tableau134556571146[[#This Row],[Marge nette sur prestation ]]/Tableau1742[[#This Row],[Montant HT]])</f>
        <v/>
      </c>
    </row>
    <row r="40" spans="1:24" ht="15.75" x14ac:dyDescent="0.25">
      <c r="A40" s="8"/>
      <c r="B40" s="8">
        <f>SUBTOTAL(103,Tableau1742[Libellé de la prestation de services])</f>
        <v>0</v>
      </c>
      <c r="C40" s="7">
        <f>SUBTOTAL(109,Tableau1742[Montant HT])</f>
        <v>0</v>
      </c>
      <c r="D40" s="7">
        <f>SUBTOTAL(109,Tableau1742[Matières premières])</f>
        <v>0</v>
      </c>
      <c r="E40" s="7">
        <f>SUBTOTAL(109,Tableau1742[Marchandises])</f>
        <v>0</v>
      </c>
      <c r="F40" s="7">
        <f>SUBTOTAL(109,Tableau1742[Consommables])</f>
        <v>0</v>
      </c>
      <c r="G40" s="7">
        <f>SUBTOTAL(109,Tableau1742[Frais de livraison liés aux achats])</f>
        <v>0</v>
      </c>
      <c r="H40" s="7">
        <f>SUBTOTAL(109,Tableau1742[Couts d''achat et d''approvisionnement])</f>
        <v>0</v>
      </c>
      <c r="I40" s="7">
        <f>SUBTOTAL(109,Tableau1742[Mains d’œuvre avec charges sociales et patronales,])</f>
        <v>0</v>
      </c>
      <c r="J40" s="7">
        <f>SUBTOTAL(109,Tableau1742[Charges locatives])</f>
        <v>0</v>
      </c>
      <c r="K40" s="7">
        <f>SUBTOTAL(109,Tableau1354843[Coûts de production])</f>
        <v>0</v>
      </c>
      <c r="L40" s="7">
        <f>SUBTOTAL(109,Tableau1354843[Marketing])</f>
        <v>0</v>
      </c>
      <c r="M40" s="7">
        <f>SUBTOTAL(109,Tableau1354843[Prospection])</f>
        <v>0</v>
      </c>
      <c r="N40" s="7">
        <f>SUBTOTAL(109,Tableau1354843[Commerciaux])</f>
        <v>0</v>
      </c>
      <c r="O40" s="7">
        <f>SUBTOTAL(109,Tableau1354843[Livraison])</f>
        <v>0</v>
      </c>
      <c r="P40" s="7">
        <f>SUBTOTAL(109,Tableau13455944[Coûts de commercialisation et distribution])</f>
        <v>0</v>
      </c>
      <c r="Q40" s="7">
        <f>SUBTOTAL(109,Tableau13455944[services généraux])</f>
        <v>0</v>
      </c>
      <c r="R40" s="7">
        <f>SUBTOTAL(109,Tableau13455944[frais divers])</f>
        <v>0</v>
      </c>
      <c r="S40" s="7">
        <f>SUBTOTAL(109,Tableau13455944[impôts])</f>
        <v>0</v>
      </c>
      <c r="T40" s="7">
        <f>SUBTOTAL(109,Tableau1345561045[Coûts administratifs])</f>
        <v>0</v>
      </c>
      <c r="U40" s="7">
        <f>SUBTOTAL(109,Tableau1345561045[Coût de revient unitaire])</f>
        <v>0</v>
      </c>
      <c r="V40" s="7">
        <f>SUBTOTAL(109,Tableau134556571146[[Marge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IF(Tableau1747[[#This Row],[Libellé de la prestation de services]]="","",SUM(Tableau1747[[#This Row],[Matières premières]:[Frais de livraison liés aux achats]]))</f>
        <v/>
      </c>
      <c r="I3" s="63"/>
      <c r="J3" s="63"/>
      <c r="K3" s="6" t="str">
        <f>IF(Tableau1747[[#This Row],[Libellé de la prestation de services]]="","",SUM(Tableau1747[[#This Row],[Mains d’œuvre avec charges sociales et patronales,]:[Charges locatives]]))</f>
        <v/>
      </c>
      <c r="L3" s="64"/>
      <c r="M3" s="64"/>
      <c r="N3" s="64"/>
      <c r="O3" s="64"/>
      <c r="P3" s="6" t="str">
        <f>IF(Tableau1747[[#This Row],[Libellé de la prestation de services]]="","",SUM(Tableau1354848[[#This Row],[Marketing]:[Livraison]]))</f>
        <v/>
      </c>
      <c r="Q3" s="63"/>
      <c r="R3" s="63"/>
      <c r="S3" s="63"/>
      <c r="T3" s="6" t="str">
        <f>IF(Tableau1747[[#This Row],[Libellé de la prestation de services]]="","",SUM(Tableau13455949[[#This Row],[services généraux]:[impôts]]))</f>
        <v/>
      </c>
      <c r="U3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" s="10" t="str">
        <f>IF(Tableau1747[[#This Row],[Montant HT]]="","",Tableau134556571151[[#This Row],[Marge nette sur prestation ]]/Tableau1345561050[[#This Row],[Coût de revient unitaire]])</f>
        <v/>
      </c>
      <c r="X3" s="10" t="str">
        <f>IF(Tableau1747[[#This Row],[Montant HT]]="","",Tableau134556571151[[#This Row],[Marge nette sur prestation ]]/Tableau1747[[#This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IF(Tableau1747[[#This Row],[Libellé de la prestation de services]]="","",SUM(Tableau1747[[#This Row],[Matières premières]:[Frais de livraison liés aux achats]]))</f>
        <v/>
      </c>
      <c r="I4" s="63"/>
      <c r="J4" s="63"/>
      <c r="K4" s="6" t="str">
        <f>IF(Tableau1747[[#This Row],[Libellé de la prestation de services]]="","",SUM(Tableau1747[[#This Row],[Mains d’œuvre avec charges sociales et patronales,]:[Charges locatives]]))</f>
        <v/>
      </c>
      <c r="L4" s="64"/>
      <c r="M4" s="64"/>
      <c r="N4" s="64"/>
      <c r="O4" s="64"/>
      <c r="P4" s="6" t="str">
        <f>IF(Tableau1747[[#This Row],[Libellé de la prestation de services]]="","",SUM(Tableau1354848[[#This Row],[Marketing]:[Livraison]]))</f>
        <v/>
      </c>
      <c r="Q4" s="63"/>
      <c r="R4" s="63"/>
      <c r="S4" s="63"/>
      <c r="T4" s="6" t="str">
        <f>IF(Tableau1747[[#This Row],[Libellé de la prestation de services]]="","",SUM(Tableau13455949[[#This Row],[services généraux]:[impôts]]))</f>
        <v/>
      </c>
      <c r="U4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4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4" s="10" t="str">
        <f>IF(Tableau1747[[#This Row],[Montant HT]]="","",Tableau134556571151[[#This Row],[Marge nette sur prestation ]]/Tableau1345561050[[#This Row],[Coût de revient unitaire]])</f>
        <v/>
      </c>
      <c r="X4" s="10" t="str">
        <f>IF(Tableau1747[[#This Row],[Montant HT]]="","",Tableau134556571151[[#This Row],[Marge nette sur prestation ]]/Tableau1747[[#This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IF(Tableau1747[[#This Row],[Libellé de la prestation de services]]="","",SUM(Tableau1747[[#This Row],[Matières premières]:[Frais de livraison liés aux achats]]))</f>
        <v/>
      </c>
      <c r="I5" s="63"/>
      <c r="J5" s="63"/>
      <c r="K5" s="6" t="str">
        <f>IF(Tableau1747[[#This Row],[Libellé de la prestation de services]]="","",SUM(Tableau1747[[#This Row],[Mains d’œuvre avec charges sociales et patronales,]:[Charges locatives]]))</f>
        <v/>
      </c>
      <c r="L5" s="64"/>
      <c r="M5" s="64"/>
      <c r="N5" s="64"/>
      <c r="O5" s="64"/>
      <c r="P5" s="6" t="str">
        <f>IF(Tableau1747[[#This Row],[Libellé de la prestation de services]]="","",SUM(Tableau1354848[[#This Row],[Marketing]:[Livraison]]))</f>
        <v/>
      </c>
      <c r="Q5" s="63"/>
      <c r="R5" s="63"/>
      <c r="S5" s="63"/>
      <c r="T5" s="6" t="str">
        <f>IF(Tableau1747[[#This Row],[Libellé de la prestation de services]]="","",SUM(Tableau13455949[[#This Row],[services généraux]:[impôts]]))</f>
        <v/>
      </c>
      <c r="U5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5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5" s="10" t="str">
        <f>IF(Tableau1747[[#This Row],[Montant HT]]="","",Tableau134556571151[[#This Row],[Marge nette sur prestation ]]/Tableau1345561050[[#This Row],[Coût de revient unitaire]])</f>
        <v/>
      </c>
      <c r="X5" s="10" t="str">
        <f>IF(Tableau1747[[#This Row],[Montant HT]]="","",Tableau134556571151[[#This Row],[Marge nette sur prestation ]]/Tableau1747[[#This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IF(Tableau1747[[#This Row],[Libellé de la prestation de services]]="","",SUM(Tableau1747[[#This Row],[Matières premières]:[Frais de livraison liés aux achats]]))</f>
        <v/>
      </c>
      <c r="I6" s="63"/>
      <c r="J6" s="63"/>
      <c r="K6" s="6" t="str">
        <f>IF(Tableau1747[[#This Row],[Libellé de la prestation de services]]="","",SUM(Tableau1747[[#This Row],[Mains d’œuvre avec charges sociales et patronales,]:[Charges locatives]]))</f>
        <v/>
      </c>
      <c r="L6" s="64"/>
      <c r="M6" s="64"/>
      <c r="N6" s="64"/>
      <c r="O6" s="64"/>
      <c r="P6" s="6" t="str">
        <f>IF(Tableau1747[[#This Row],[Libellé de la prestation de services]]="","",SUM(Tableau1354848[[#This Row],[Marketing]:[Livraison]]))</f>
        <v/>
      </c>
      <c r="Q6" s="63"/>
      <c r="R6" s="63"/>
      <c r="S6" s="63"/>
      <c r="T6" s="6" t="str">
        <f>IF(Tableau1747[[#This Row],[Libellé de la prestation de services]]="","",SUM(Tableau13455949[[#This Row],[services généraux]:[impôts]]))</f>
        <v/>
      </c>
      <c r="U6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6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6" s="10" t="str">
        <f>IF(Tableau1747[[#This Row],[Montant HT]]="","",Tableau134556571151[[#This Row],[Marge nette sur prestation ]]/Tableau1345561050[[#This Row],[Coût de revient unitaire]])</f>
        <v/>
      </c>
      <c r="X6" s="10" t="str">
        <f>IF(Tableau1747[[#This Row],[Montant HT]]="","",Tableau134556571151[[#This Row],[Marge nette sur prestation ]]/Tableau1747[[#This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IF(Tableau1747[[#This Row],[Libellé de la prestation de services]]="","",SUM(Tableau1747[[#This Row],[Matières premières]:[Frais de livraison liés aux achats]]))</f>
        <v/>
      </c>
      <c r="I7" s="63"/>
      <c r="J7" s="63"/>
      <c r="K7" s="6" t="str">
        <f>IF(Tableau1747[[#This Row],[Libellé de la prestation de services]]="","",SUM(Tableau1747[[#This Row],[Mains d’œuvre avec charges sociales et patronales,]:[Charges locatives]]))</f>
        <v/>
      </c>
      <c r="L7" s="64"/>
      <c r="M7" s="64"/>
      <c r="N7" s="64"/>
      <c r="O7" s="64"/>
      <c r="P7" s="6" t="str">
        <f>IF(Tableau1747[[#This Row],[Libellé de la prestation de services]]="","",SUM(Tableau1354848[[#This Row],[Marketing]:[Livraison]]))</f>
        <v/>
      </c>
      <c r="Q7" s="63"/>
      <c r="R7" s="63"/>
      <c r="S7" s="63"/>
      <c r="T7" s="6" t="str">
        <f>IF(Tableau1747[[#This Row],[Libellé de la prestation de services]]="","",SUM(Tableau13455949[[#This Row],[services généraux]:[impôts]]))</f>
        <v/>
      </c>
      <c r="U7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7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7" s="10" t="str">
        <f>IF(Tableau1747[[#This Row],[Montant HT]]="","",Tableau134556571151[[#This Row],[Marge nette sur prestation ]]/Tableau1345561050[[#This Row],[Coût de revient unitaire]])</f>
        <v/>
      </c>
      <c r="X7" s="10" t="str">
        <f>IF(Tableau1747[[#This Row],[Montant HT]]="","",Tableau134556571151[[#This Row],[Marge nette sur prestation ]]/Tableau1747[[#This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IF(Tableau1747[[#This Row],[Libellé de la prestation de services]]="","",SUM(Tableau1747[[#This Row],[Matières premières]:[Frais de livraison liés aux achats]]))</f>
        <v/>
      </c>
      <c r="I8" s="63"/>
      <c r="J8" s="63"/>
      <c r="K8" s="6" t="str">
        <f>IF(Tableau1747[[#This Row],[Libellé de la prestation de services]]="","",SUM(Tableau1747[[#This Row],[Mains d’œuvre avec charges sociales et patronales,]:[Charges locatives]]))</f>
        <v/>
      </c>
      <c r="L8" s="64"/>
      <c r="M8" s="64"/>
      <c r="N8" s="64"/>
      <c r="O8" s="64"/>
      <c r="P8" s="6" t="str">
        <f>IF(Tableau1747[[#This Row],[Libellé de la prestation de services]]="","",SUM(Tableau1354848[[#This Row],[Marketing]:[Livraison]]))</f>
        <v/>
      </c>
      <c r="Q8" s="63"/>
      <c r="R8" s="63"/>
      <c r="S8" s="63"/>
      <c r="T8" s="6" t="str">
        <f>IF(Tableau1747[[#This Row],[Libellé de la prestation de services]]="","",SUM(Tableau13455949[[#This Row],[services généraux]:[impôts]]))</f>
        <v/>
      </c>
      <c r="U8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8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8" s="10" t="str">
        <f>IF(Tableau1747[[#This Row],[Montant HT]]="","",Tableau134556571151[[#This Row],[Marge nette sur prestation ]]/Tableau1345561050[[#This Row],[Coût de revient unitaire]])</f>
        <v/>
      </c>
      <c r="X8" s="10" t="str">
        <f>IF(Tableau1747[[#This Row],[Montant HT]]="","",Tableau134556571151[[#This Row],[Marge nette sur prestation ]]/Tableau1747[[#This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IF(Tableau1747[[#This Row],[Libellé de la prestation de services]]="","",SUM(Tableau1747[[#This Row],[Matières premières]:[Frais de livraison liés aux achats]]))</f>
        <v/>
      </c>
      <c r="I9" s="63"/>
      <c r="J9" s="63"/>
      <c r="K9" s="6" t="str">
        <f>IF(Tableau1747[[#This Row],[Libellé de la prestation de services]]="","",SUM(Tableau1747[[#This Row],[Mains d’œuvre avec charges sociales et patronales,]:[Charges locatives]]))</f>
        <v/>
      </c>
      <c r="L9" s="64"/>
      <c r="M9" s="64"/>
      <c r="N9" s="64"/>
      <c r="O9" s="64"/>
      <c r="P9" s="6" t="str">
        <f>IF(Tableau1747[[#This Row],[Libellé de la prestation de services]]="","",SUM(Tableau1354848[[#This Row],[Marketing]:[Livraison]]))</f>
        <v/>
      </c>
      <c r="Q9" s="63"/>
      <c r="R9" s="63"/>
      <c r="S9" s="63"/>
      <c r="T9" s="6" t="str">
        <f>IF(Tableau1747[[#This Row],[Libellé de la prestation de services]]="","",SUM(Tableau13455949[[#This Row],[services généraux]:[impôts]]))</f>
        <v/>
      </c>
      <c r="U9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9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9" s="10" t="str">
        <f>IF(Tableau1747[[#This Row],[Montant HT]]="","",Tableau134556571151[[#This Row],[Marge nette sur prestation ]]/Tableau1345561050[[#This Row],[Coût de revient unitaire]])</f>
        <v/>
      </c>
      <c r="X9" s="10" t="str">
        <f>IF(Tableau1747[[#This Row],[Montant HT]]="","",Tableau134556571151[[#This Row],[Marge nette sur prestation ]]/Tableau1747[[#This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IF(Tableau1747[[#This Row],[Libellé de la prestation de services]]="","",SUM(Tableau1747[[#This Row],[Matières premières]:[Frais de livraison liés aux achats]]))</f>
        <v/>
      </c>
      <c r="I10" s="63"/>
      <c r="J10" s="63"/>
      <c r="K10" s="6" t="str">
        <f>IF(Tableau1747[[#This Row],[Libellé de la prestation de services]]="","",SUM(Tableau1747[[#This Row],[Mains d’œuvre avec charges sociales et patronales,]:[Charges locatives]]))</f>
        <v/>
      </c>
      <c r="L10" s="64"/>
      <c r="M10" s="64"/>
      <c r="N10" s="64"/>
      <c r="O10" s="64"/>
      <c r="P10" s="6" t="str">
        <f>IF(Tableau1747[[#This Row],[Libellé de la prestation de services]]="","",SUM(Tableau1354848[[#This Row],[Marketing]:[Livraison]]))</f>
        <v/>
      </c>
      <c r="Q10" s="63"/>
      <c r="R10" s="63"/>
      <c r="S10" s="63"/>
      <c r="T10" s="6" t="str">
        <f>IF(Tableau1747[[#This Row],[Libellé de la prestation de services]]="","",SUM(Tableau13455949[[#This Row],[services généraux]:[impôts]]))</f>
        <v/>
      </c>
      <c r="U10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0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0" s="10" t="str">
        <f>IF(Tableau1747[[#This Row],[Montant HT]]="","",Tableau134556571151[[#This Row],[Marge nette sur prestation ]]/Tableau1345561050[[#This Row],[Coût de revient unitaire]])</f>
        <v/>
      </c>
      <c r="X10" s="10" t="str">
        <f>IF(Tableau1747[[#This Row],[Montant HT]]="","",Tableau134556571151[[#This Row],[Marge nette sur prestation ]]/Tableau1747[[#This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IF(Tableau1747[[#This Row],[Libellé de la prestation de services]]="","",SUM(Tableau1747[[#This Row],[Matières premières]:[Frais de livraison liés aux achats]]))</f>
        <v/>
      </c>
      <c r="I11" s="63"/>
      <c r="J11" s="63"/>
      <c r="K11" s="6" t="str">
        <f>IF(Tableau1747[[#This Row],[Libellé de la prestation de services]]="","",SUM(Tableau1747[[#This Row],[Mains d’œuvre avec charges sociales et patronales,]:[Charges locatives]]))</f>
        <v/>
      </c>
      <c r="L11" s="64"/>
      <c r="M11" s="64"/>
      <c r="N11" s="64"/>
      <c r="O11" s="64"/>
      <c r="P11" s="6" t="str">
        <f>IF(Tableau1747[[#This Row],[Libellé de la prestation de services]]="","",SUM(Tableau1354848[[#This Row],[Marketing]:[Livraison]]))</f>
        <v/>
      </c>
      <c r="Q11" s="63"/>
      <c r="R11" s="63"/>
      <c r="S11" s="63"/>
      <c r="T11" s="6" t="str">
        <f>IF(Tableau1747[[#This Row],[Libellé de la prestation de services]]="","",SUM(Tableau13455949[[#This Row],[services généraux]:[impôts]]))</f>
        <v/>
      </c>
      <c r="U11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1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1" s="10" t="str">
        <f>IF(Tableau1747[[#This Row],[Montant HT]]="","",Tableau134556571151[[#This Row],[Marge nette sur prestation ]]/Tableau1345561050[[#This Row],[Coût de revient unitaire]])</f>
        <v/>
      </c>
      <c r="X11" s="10" t="str">
        <f>IF(Tableau1747[[#This Row],[Montant HT]]="","",Tableau134556571151[[#This Row],[Marge nette sur prestation ]]/Tableau1747[[#This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IF(Tableau1747[[#This Row],[Libellé de la prestation de services]]="","",SUM(Tableau1747[[#This Row],[Matières premières]:[Frais de livraison liés aux achats]]))</f>
        <v/>
      </c>
      <c r="I12" s="63"/>
      <c r="J12" s="63"/>
      <c r="K12" s="6" t="str">
        <f>IF(Tableau1747[[#This Row],[Libellé de la prestation de services]]="","",SUM(Tableau1747[[#This Row],[Mains d’œuvre avec charges sociales et patronales,]:[Charges locatives]]))</f>
        <v/>
      </c>
      <c r="L12" s="64"/>
      <c r="M12" s="64"/>
      <c r="N12" s="64"/>
      <c r="O12" s="64"/>
      <c r="P12" s="6" t="str">
        <f>IF(Tableau1747[[#This Row],[Libellé de la prestation de services]]="","",SUM(Tableau1354848[[#This Row],[Marketing]:[Livraison]]))</f>
        <v/>
      </c>
      <c r="Q12" s="63"/>
      <c r="R12" s="63"/>
      <c r="S12" s="63"/>
      <c r="T12" s="6" t="str">
        <f>IF(Tableau1747[[#This Row],[Libellé de la prestation de services]]="","",SUM(Tableau13455949[[#This Row],[services généraux]:[impôts]]))</f>
        <v/>
      </c>
      <c r="U12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2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2" s="10" t="str">
        <f>IF(Tableau1747[[#This Row],[Montant HT]]="","",Tableau134556571151[[#This Row],[Marge nette sur prestation ]]/Tableau1345561050[[#This Row],[Coût de revient unitaire]])</f>
        <v/>
      </c>
      <c r="X12" s="10" t="str">
        <f>IF(Tableau1747[[#This Row],[Montant HT]]="","",Tableau134556571151[[#This Row],[Marge nette sur prestation ]]/Tableau1747[[#This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IF(Tableau1747[[#This Row],[Libellé de la prestation de services]]="","",SUM(Tableau1747[[#This Row],[Matières premières]:[Frais de livraison liés aux achats]]))</f>
        <v/>
      </c>
      <c r="I13" s="63"/>
      <c r="J13" s="63"/>
      <c r="K13" s="6" t="str">
        <f>IF(Tableau1747[[#This Row],[Libellé de la prestation de services]]="","",SUM(Tableau1747[[#This Row],[Mains d’œuvre avec charges sociales et patronales,]:[Charges locatives]]))</f>
        <v/>
      </c>
      <c r="L13" s="64"/>
      <c r="M13" s="64"/>
      <c r="N13" s="64"/>
      <c r="O13" s="64"/>
      <c r="P13" s="6" t="str">
        <f>IF(Tableau1747[[#This Row],[Libellé de la prestation de services]]="","",SUM(Tableau1354848[[#This Row],[Marketing]:[Livraison]]))</f>
        <v/>
      </c>
      <c r="Q13" s="63"/>
      <c r="R13" s="63"/>
      <c r="S13" s="63"/>
      <c r="T13" s="6" t="str">
        <f>IF(Tableau1747[[#This Row],[Libellé de la prestation de services]]="","",SUM(Tableau13455949[[#This Row],[services généraux]:[impôts]]))</f>
        <v/>
      </c>
      <c r="U13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3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3" s="10" t="str">
        <f>IF(Tableau1747[[#This Row],[Montant HT]]="","",Tableau134556571151[[#This Row],[Marge nette sur prestation ]]/Tableau1345561050[[#This Row],[Coût de revient unitaire]])</f>
        <v/>
      </c>
      <c r="X13" s="10" t="str">
        <f>IF(Tableau1747[[#This Row],[Montant HT]]="","",Tableau134556571151[[#This Row],[Marge nette sur prestation ]]/Tableau1747[[#This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IF(Tableau1747[[#This Row],[Libellé de la prestation de services]]="","",SUM(Tableau1747[[#This Row],[Matières premières]:[Frais de livraison liés aux achats]]))</f>
        <v/>
      </c>
      <c r="I14" s="63"/>
      <c r="J14" s="63"/>
      <c r="K14" s="6" t="str">
        <f>IF(Tableau1747[[#This Row],[Libellé de la prestation de services]]="","",SUM(Tableau1747[[#This Row],[Mains d’œuvre avec charges sociales et patronales,]:[Charges locatives]]))</f>
        <v/>
      </c>
      <c r="L14" s="64"/>
      <c r="M14" s="64"/>
      <c r="N14" s="64"/>
      <c r="O14" s="64"/>
      <c r="P14" s="6" t="str">
        <f>IF(Tableau1747[[#This Row],[Libellé de la prestation de services]]="","",SUM(Tableau1354848[[#This Row],[Marketing]:[Livraison]]))</f>
        <v/>
      </c>
      <c r="Q14" s="63"/>
      <c r="R14" s="63"/>
      <c r="S14" s="63"/>
      <c r="T14" s="6" t="str">
        <f>IF(Tableau1747[[#This Row],[Libellé de la prestation de services]]="","",SUM(Tableau13455949[[#This Row],[services généraux]:[impôts]]))</f>
        <v/>
      </c>
      <c r="U14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4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4" s="10" t="str">
        <f>IF(Tableau1747[[#This Row],[Montant HT]]="","",Tableau134556571151[[#This Row],[Marge nette sur prestation ]]/Tableau1345561050[[#This Row],[Coût de revient unitaire]])</f>
        <v/>
      </c>
      <c r="X14" s="10" t="str">
        <f>IF(Tableau1747[[#This Row],[Montant HT]]="","",Tableau134556571151[[#This Row],[Marge nette sur prestation ]]/Tableau1747[[#This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IF(Tableau1747[[#This Row],[Libellé de la prestation de services]]="","",SUM(Tableau1747[[#This Row],[Matières premières]:[Frais de livraison liés aux achats]]))</f>
        <v/>
      </c>
      <c r="I15" s="63"/>
      <c r="J15" s="63"/>
      <c r="K15" s="6" t="str">
        <f>IF(Tableau1747[[#This Row],[Libellé de la prestation de services]]="","",SUM(Tableau1747[[#This Row],[Mains d’œuvre avec charges sociales et patronales,]:[Charges locatives]]))</f>
        <v/>
      </c>
      <c r="L15" s="64"/>
      <c r="M15" s="64"/>
      <c r="N15" s="64"/>
      <c r="O15" s="64"/>
      <c r="P15" s="6" t="str">
        <f>IF(Tableau1747[[#This Row],[Libellé de la prestation de services]]="","",SUM(Tableau1354848[[#This Row],[Marketing]:[Livraison]]))</f>
        <v/>
      </c>
      <c r="Q15" s="63"/>
      <c r="R15" s="63"/>
      <c r="S15" s="63"/>
      <c r="T15" s="6" t="str">
        <f>IF(Tableau1747[[#This Row],[Libellé de la prestation de services]]="","",SUM(Tableau13455949[[#This Row],[services généraux]:[impôts]]))</f>
        <v/>
      </c>
      <c r="U15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5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5" s="10" t="str">
        <f>IF(Tableau1747[[#This Row],[Montant HT]]="","",Tableau134556571151[[#This Row],[Marge nette sur prestation ]]/Tableau1345561050[[#This Row],[Coût de revient unitaire]])</f>
        <v/>
      </c>
      <c r="X15" s="10" t="str">
        <f>IF(Tableau1747[[#This Row],[Montant HT]]="","",Tableau134556571151[[#This Row],[Marge nette sur prestation ]]/Tableau1747[[#This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IF(Tableau1747[[#This Row],[Libellé de la prestation de services]]="","",SUM(Tableau1747[[#This Row],[Matières premières]:[Frais de livraison liés aux achats]]))</f>
        <v/>
      </c>
      <c r="I16" s="63"/>
      <c r="J16" s="63"/>
      <c r="K16" s="6" t="str">
        <f>IF(Tableau1747[[#This Row],[Libellé de la prestation de services]]="","",SUM(Tableau1747[[#This Row],[Mains d’œuvre avec charges sociales et patronales,]:[Charges locatives]]))</f>
        <v/>
      </c>
      <c r="L16" s="64"/>
      <c r="M16" s="64"/>
      <c r="N16" s="64"/>
      <c r="O16" s="64"/>
      <c r="P16" s="6" t="str">
        <f>IF(Tableau1747[[#This Row],[Libellé de la prestation de services]]="","",SUM(Tableau1354848[[#This Row],[Marketing]:[Livraison]]))</f>
        <v/>
      </c>
      <c r="Q16" s="63"/>
      <c r="R16" s="63"/>
      <c r="S16" s="63"/>
      <c r="T16" s="6" t="str">
        <f>IF(Tableau1747[[#This Row],[Libellé de la prestation de services]]="","",SUM(Tableau13455949[[#This Row],[services généraux]:[impôts]]))</f>
        <v/>
      </c>
      <c r="U16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6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6" s="10" t="str">
        <f>IF(Tableau1747[[#This Row],[Montant HT]]="","",Tableau134556571151[[#This Row],[Marge nette sur prestation ]]/Tableau1345561050[[#This Row],[Coût de revient unitaire]])</f>
        <v/>
      </c>
      <c r="X16" s="10" t="str">
        <f>IF(Tableau1747[[#This Row],[Montant HT]]="","",Tableau134556571151[[#This Row],[Marge nette sur prestation ]]/Tableau1747[[#This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IF(Tableau1747[[#This Row],[Libellé de la prestation de services]]="","",SUM(Tableau1747[[#This Row],[Matières premières]:[Frais de livraison liés aux achats]]))</f>
        <v/>
      </c>
      <c r="I17" s="63"/>
      <c r="J17" s="63"/>
      <c r="K17" s="6" t="str">
        <f>IF(Tableau1747[[#This Row],[Libellé de la prestation de services]]="","",SUM(Tableau1747[[#This Row],[Mains d’œuvre avec charges sociales et patronales,]:[Charges locatives]]))</f>
        <v/>
      </c>
      <c r="L17" s="64"/>
      <c r="M17" s="64"/>
      <c r="N17" s="64"/>
      <c r="O17" s="64"/>
      <c r="P17" s="6" t="str">
        <f>IF(Tableau1747[[#This Row],[Libellé de la prestation de services]]="","",SUM(Tableau1354848[[#This Row],[Marketing]:[Livraison]]))</f>
        <v/>
      </c>
      <c r="Q17" s="63"/>
      <c r="R17" s="63"/>
      <c r="S17" s="63"/>
      <c r="T17" s="6" t="str">
        <f>IF(Tableau1747[[#This Row],[Libellé de la prestation de services]]="","",SUM(Tableau13455949[[#This Row],[services généraux]:[impôts]]))</f>
        <v/>
      </c>
      <c r="U17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7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7" s="10" t="str">
        <f>IF(Tableau1747[[#This Row],[Montant HT]]="","",Tableau134556571151[[#This Row],[Marge nette sur prestation ]]/Tableau1345561050[[#This Row],[Coût de revient unitaire]])</f>
        <v/>
      </c>
      <c r="X17" s="10" t="str">
        <f>IF(Tableau1747[[#This Row],[Montant HT]]="","",Tableau134556571151[[#This Row],[Marge nette sur prestation ]]/Tableau1747[[#This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IF(Tableau1747[[#This Row],[Libellé de la prestation de services]]="","",SUM(Tableau1747[[#This Row],[Matières premières]:[Frais de livraison liés aux achats]]))</f>
        <v/>
      </c>
      <c r="I18" s="63"/>
      <c r="J18" s="63"/>
      <c r="K18" s="6" t="str">
        <f>IF(Tableau1747[[#This Row],[Libellé de la prestation de services]]="","",SUM(Tableau1747[[#This Row],[Mains d’œuvre avec charges sociales et patronales,]:[Charges locatives]]))</f>
        <v/>
      </c>
      <c r="L18" s="64"/>
      <c r="M18" s="64"/>
      <c r="N18" s="64"/>
      <c r="O18" s="64"/>
      <c r="P18" s="6" t="str">
        <f>IF(Tableau1747[[#This Row],[Libellé de la prestation de services]]="","",SUM(Tableau1354848[[#This Row],[Marketing]:[Livraison]]))</f>
        <v/>
      </c>
      <c r="Q18" s="63"/>
      <c r="R18" s="63"/>
      <c r="S18" s="63"/>
      <c r="T18" s="6" t="str">
        <f>IF(Tableau1747[[#This Row],[Libellé de la prestation de services]]="","",SUM(Tableau13455949[[#This Row],[services généraux]:[impôts]]))</f>
        <v/>
      </c>
      <c r="U18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8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8" s="10" t="str">
        <f>IF(Tableau1747[[#This Row],[Montant HT]]="","",Tableau134556571151[[#This Row],[Marge nette sur prestation ]]/Tableau1345561050[[#This Row],[Coût de revient unitaire]])</f>
        <v/>
      </c>
      <c r="X18" s="10" t="str">
        <f>IF(Tableau1747[[#This Row],[Montant HT]]="","",Tableau134556571151[[#This Row],[Marge nette sur prestation ]]/Tableau1747[[#This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IF(Tableau1747[[#This Row],[Libellé de la prestation de services]]="","",SUM(Tableau1747[[#This Row],[Matières premières]:[Frais de livraison liés aux achats]]))</f>
        <v/>
      </c>
      <c r="I19" s="63"/>
      <c r="J19" s="63"/>
      <c r="K19" s="6" t="str">
        <f>IF(Tableau1747[[#This Row],[Libellé de la prestation de services]]="","",SUM(Tableau1747[[#This Row],[Mains d’œuvre avec charges sociales et patronales,]:[Charges locatives]]))</f>
        <v/>
      </c>
      <c r="L19" s="64"/>
      <c r="M19" s="64"/>
      <c r="N19" s="64"/>
      <c r="O19" s="64"/>
      <c r="P19" s="6" t="str">
        <f>IF(Tableau1747[[#This Row],[Libellé de la prestation de services]]="","",SUM(Tableau1354848[[#This Row],[Marketing]:[Livraison]]))</f>
        <v/>
      </c>
      <c r="Q19" s="63"/>
      <c r="R19" s="63"/>
      <c r="S19" s="63"/>
      <c r="T19" s="6" t="str">
        <f>IF(Tableau1747[[#This Row],[Libellé de la prestation de services]]="","",SUM(Tableau13455949[[#This Row],[services généraux]:[impôts]]))</f>
        <v/>
      </c>
      <c r="U19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19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19" s="10" t="str">
        <f>IF(Tableau1747[[#This Row],[Montant HT]]="","",Tableau134556571151[[#This Row],[Marge nette sur prestation ]]/Tableau1345561050[[#This Row],[Coût de revient unitaire]])</f>
        <v/>
      </c>
      <c r="X19" s="10" t="str">
        <f>IF(Tableau1747[[#This Row],[Montant HT]]="","",Tableau134556571151[[#This Row],[Marge nette sur prestation ]]/Tableau1747[[#This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IF(Tableau1747[[#This Row],[Libellé de la prestation de services]]="","",SUM(Tableau1747[[#This Row],[Matières premières]:[Frais de livraison liés aux achats]]))</f>
        <v/>
      </c>
      <c r="I20" s="63"/>
      <c r="J20" s="63"/>
      <c r="K20" s="6" t="str">
        <f>IF(Tableau1747[[#This Row],[Libellé de la prestation de services]]="","",SUM(Tableau1747[[#This Row],[Mains d’œuvre avec charges sociales et patronales,]:[Charges locatives]]))</f>
        <v/>
      </c>
      <c r="L20" s="64"/>
      <c r="M20" s="64"/>
      <c r="N20" s="64"/>
      <c r="O20" s="64"/>
      <c r="P20" s="6" t="str">
        <f>IF(Tableau1747[[#This Row],[Libellé de la prestation de services]]="","",SUM(Tableau1354848[[#This Row],[Marketing]:[Livraison]]))</f>
        <v/>
      </c>
      <c r="Q20" s="63"/>
      <c r="R20" s="63"/>
      <c r="S20" s="63"/>
      <c r="T20" s="6" t="str">
        <f>IF(Tableau1747[[#This Row],[Libellé de la prestation de services]]="","",SUM(Tableau13455949[[#This Row],[services généraux]:[impôts]]))</f>
        <v/>
      </c>
      <c r="U20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0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0" s="10" t="str">
        <f>IF(Tableau1747[[#This Row],[Montant HT]]="","",Tableau134556571151[[#This Row],[Marge nette sur prestation ]]/Tableau1345561050[[#This Row],[Coût de revient unitaire]])</f>
        <v/>
      </c>
      <c r="X20" s="10" t="str">
        <f>IF(Tableau1747[[#This Row],[Montant HT]]="","",Tableau134556571151[[#This Row],[Marge nette sur prestation ]]/Tableau1747[[#This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IF(Tableau1747[[#This Row],[Libellé de la prestation de services]]="","",SUM(Tableau1747[[#This Row],[Matières premières]:[Frais de livraison liés aux achats]]))</f>
        <v/>
      </c>
      <c r="I21" s="63"/>
      <c r="J21" s="63"/>
      <c r="K21" s="6" t="str">
        <f>IF(Tableau1747[[#This Row],[Libellé de la prestation de services]]="","",SUM(Tableau1747[[#This Row],[Mains d’œuvre avec charges sociales et patronales,]:[Charges locatives]]))</f>
        <v/>
      </c>
      <c r="L21" s="64"/>
      <c r="M21" s="64"/>
      <c r="N21" s="64"/>
      <c r="O21" s="64"/>
      <c r="P21" s="6" t="str">
        <f>IF(Tableau1747[[#This Row],[Libellé de la prestation de services]]="","",SUM(Tableau1354848[[#This Row],[Marketing]:[Livraison]]))</f>
        <v/>
      </c>
      <c r="Q21" s="63"/>
      <c r="R21" s="63"/>
      <c r="S21" s="63"/>
      <c r="T21" s="6" t="str">
        <f>IF(Tableau1747[[#This Row],[Libellé de la prestation de services]]="","",SUM(Tableau13455949[[#This Row],[services généraux]:[impôts]]))</f>
        <v/>
      </c>
      <c r="U21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1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1" s="10" t="str">
        <f>IF(Tableau1747[[#This Row],[Montant HT]]="","",Tableau134556571151[[#This Row],[Marge nette sur prestation ]]/Tableau1345561050[[#This Row],[Coût de revient unitaire]])</f>
        <v/>
      </c>
      <c r="X21" s="10" t="str">
        <f>IF(Tableau1747[[#This Row],[Montant HT]]="","",Tableau134556571151[[#This Row],[Marge nette sur prestation ]]/Tableau1747[[#This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IF(Tableau1747[[#This Row],[Libellé de la prestation de services]]="","",SUM(Tableau1747[[#This Row],[Matières premières]:[Frais de livraison liés aux achats]]))</f>
        <v/>
      </c>
      <c r="I22" s="63"/>
      <c r="J22" s="63"/>
      <c r="K22" s="6" t="str">
        <f>IF(Tableau1747[[#This Row],[Libellé de la prestation de services]]="","",SUM(Tableau1747[[#This Row],[Mains d’œuvre avec charges sociales et patronales,]:[Charges locatives]]))</f>
        <v/>
      </c>
      <c r="L22" s="64"/>
      <c r="M22" s="64"/>
      <c r="N22" s="64"/>
      <c r="O22" s="64"/>
      <c r="P22" s="6" t="str">
        <f>IF(Tableau1747[[#This Row],[Libellé de la prestation de services]]="","",SUM(Tableau1354848[[#This Row],[Marketing]:[Livraison]]))</f>
        <v/>
      </c>
      <c r="Q22" s="63"/>
      <c r="R22" s="63"/>
      <c r="S22" s="63"/>
      <c r="T22" s="6" t="str">
        <f>IF(Tableau1747[[#This Row],[Libellé de la prestation de services]]="","",SUM(Tableau13455949[[#This Row],[services généraux]:[impôts]]))</f>
        <v/>
      </c>
      <c r="U22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2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2" s="10" t="str">
        <f>IF(Tableau1747[[#This Row],[Montant HT]]="","",Tableau134556571151[[#This Row],[Marge nette sur prestation ]]/Tableau1345561050[[#This Row],[Coût de revient unitaire]])</f>
        <v/>
      </c>
      <c r="X22" s="10" t="str">
        <f>IF(Tableau1747[[#This Row],[Montant HT]]="","",Tableau134556571151[[#This Row],[Marge nette sur prestation ]]/Tableau1747[[#This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IF(Tableau1747[[#This Row],[Libellé de la prestation de services]]="","",SUM(Tableau1747[[#This Row],[Matières premières]:[Frais de livraison liés aux achats]]))</f>
        <v/>
      </c>
      <c r="I23" s="63"/>
      <c r="J23" s="63"/>
      <c r="K23" s="6" t="str">
        <f>IF(Tableau1747[[#This Row],[Libellé de la prestation de services]]="","",SUM(Tableau1747[[#This Row],[Mains d’œuvre avec charges sociales et patronales,]:[Charges locatives]]))</f>
        <v/>
      </c>
      <c r="L23" s="64"/>
      <c r="M23" s="64"/>
      <c r="N23" s="64"/>
      <c r="O23" s="64"/>
      <c r="P23" s="6" t="str">
        <f>IF(Tableau1747[[#This Row],[Libellé de la prestation de services]]="","",SUM(Tableau1354848[[#This Row],[Marketing]:[Livraison]]))</f>
        <v/>
      </c>
      <c r="Q23" s="63"/>
      <c r="R23" s="63"/>
      <c r="S23" s="63"/>
      <c r="T23" s="6" t="str">
        <f>IF(Tableau1747[[#This Row],[Libellé de la prestation de services]]="","",SUM(Tableau13455949[[#This Row],[services généraux]:[impôts]]))</f>
        <v/>
      </c>
      <c r="U23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3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3" s="10" t="str">
        <f>IF(Tableau1747[[#This Row],[Montant HT]]="","",Tableau134556571151[[#This Row],[Marge nette sur prestation ]]/Tableau1345561050[[#This Row],[Coût de revient unitaire]])</f>
        <v/>
      </c>
      <c r="X23" s="10" t="str">
        <f>IF(Tableau1747[[#This Row],[Montant HT]]="","",Tableau134556571151[[#This Row],[Marge nette sur prestation ]]/Tableau1747[[#This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IF(Tableau1747[[#This Row],[Libellé de la prestation de services]]="","",SUM(Tableau1747[[#This Row],[Matières premières]:[Frais de livraison liés aux achats]]))</f>
        <v/>
      </c>
      <c r="I24" s="63"/>
      <c r="J24" s="63"/>
      <c r="K24" s="6" t="str">
        <f>IF(Tableau1747[[#This Row],[Libellé de la prestation de services]]="","",SUM(Tableau1747[[#This Row],[Mains d’œuvre avec charges sociales et patronales,]:[Charges locatives]]))</f>
        <v/>
      </c>
      <c r="L24" s="64"/>
      <c r="M24" s="64"/>
      <c r="N24" s="64"/>
      <c r="O24" s="64"/>
      <c r="P24" s="6" t="str">
        <f>IF(Tableau1747[[#This Row],[Libellé de la prestation de services]]="","",SUM(Tableau1354848[[#This Row],[Marketing]:[Livraison]]))</f>
        <v/>
      </c>
      <c r="Q24" s="63"/>
      <c r="R24" s="63"/>
      <c r="S24" s="63"/>
      <c r="T24" s="6" t="str">
        <f>IF(Tableau1747[[#This Row],[Libellé de la prestation de services]]="","",SUM(Tableau13455949[[#This Row],[services généraux]:[impôts]]))</f>
        <v/>
      </c>
      <c r="U24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4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4" s="10" t="str">
        <f>IF(Tableau1747[[#This Row],[Montant HT]]="","",Tableau134556571151[[#This Row],[Marge nette sur prestation ]]/Tableau1345561050[[#This Row],[Coût de revient unitaire]])</f>
        <v/>
      </c>
      <c r="X24" s="10" t="str">
        <f>IF(Tableau1747[[#This Row],[Montant HT]]="","",Tableau134556571151[[#This Row],[Marge nette sur prestation ]]/Tableau1747[[#This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IF(Tableau1747[[#This Row],[Libellé de la prestation de services]]="","",SUM(Tableau1747[[#This Row],[Matières premières]:[Frais de livraison liés aux achats]]))</f>
        <v/>
      </c>
      <c r="I25" s="63"/>
      <c r="J25" s="63"/>
      <c r="K25" s="6" t="str">
        <f>IF(Tableau1747[[#This Row],[Libellé de la prestation de services]]="","",SUM(Tableau1747[[#This Row],[Mains d’œuvre avec charges sociales et patronales,]:[Charges locatives]]))</f>
        <v/>
      </c>
      <c r="L25" s="64"/>
      <c r="M25" s="64"/>
      <c r="N25" s="64"/>
      <c r="O25" s="64"/>
      <c r="P25" s="6" t="str">
        <f>IF(Tableau1747[[#This Row],[Libellé de la prestation de services]]="","",SUM(Tableau1354848[[#This Row],[Marketing]:[Livraison]]))</f>
        <v/>
      </c>
      <c r="Q25" s="63"/>
      <c r="R25" s="63"/>
      <c r="S25" s="63"/>
      <c r="T25" s="6" t="str">
        <f>IF(Tableau1747[[#This Row],[Libellé de la prestation de services]]="","",SUM(Tableau13455949[[#This Row],[services généraux]:[impôts]]))</f>
        <v/>
      </c>
      <c r="U25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5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5" s="10" t="str">
        <f>IF(Tableau1747[[#This Row],[Montant HT]]="","",Tableau134556571151[[#This Row],[Marge nette sur prestation ]]/Tableau1345561050[[#This Row],[Coût de revient unitaire]])</f>
        <v/>
      </c>
      <c r="X25" s="10" t="str">
        <f>IF(Tableau1747[[#This Row],[Montant HT]]="","",Tableau134556571151[[#This Row],[Marge nette sur prestation ]]/Tableau1747[[#This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IF(Tableau1747[[#This Row],[Libellé de la prestation de services]]="","",SUM(Tableau1747[[#This Row],[Matières premières]:[Frais de livraison liés aux achats]]))</f>
        <v/>
      </c>
      <c r="I26" s="63"/>
      <c r="J26" s="63"/>
      <c r="K26" s="6" t="str">
        <f>IF(Tableau1747[[#This Row],[Libellé de la prestation de services]]="","",SUM(Tableau1747[[#This Row],[Mains d’œuvre avec charges sociales et patronales,]:[Charges locatives]]))</f>
        <v/>
      </c>
      <c r="L26" s="64"/>
      <c r="M26" s="64"/>
      <c r="N26" s="64"/>
      <c r="O26" s="64"/>
      <c r="P26" s="6" t="str">
        <f>IF(Tableau1747[[#This Row],[Libellé de la prestation de services]]="","",SUM(Tableau1354848[[#This Row],[Marketing]:[Livraison]]))</f>
        <v/>
      </c>
      <c r="Q26" s="63"/>
      <c r="R26" s="63"/>
      <c r="S26" s="63"/>
      <c r="T26" s="6" t="str">
        <f>IF(Tableau1747[[#This Row],[Libellé de la prestation de services]]="","",SUM(Tableau13455949[[#This Row],[services généraux]:[impôts]]))</f>
        <v/>
      </c>
      <c r="U26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6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6" s="10" t="str">
        <f>IF(Tableau1747[[#This Row],[Montant HT]]="","",Tableau134556571151[[#This Row],[Marge nette sur prestation ]]/Tableau1345561050[[#This Row],[Coût de revient unitaire]])</f>
        <v/>
      </c>
      <c r="X26" s="10" t="str">
        <f>IF(Tableau1747[[#This Row],[Montant HT]]="","",Tableau134556571151[[#This Row],[Marge nette sur prestation ]]/Tableau1747[[#This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IF(Tableau1747[[#This Row],[Libellé de la prestation de services]]="","",SUM(Tableau1747[[#This Row],[Matières premières]:[Frais de livraison liés aux achats]]))</f>
        <v/>
      </c>
      <c r="I27" s="63"/>
      <c r="J27" s="63"/>
      <c r="K27" s="6" t="str">
        <f>IF(Tableau1747[[#This Row],[Libellé de la prestation de services]]="","",SUM(Tableau1747[[#This Row],[Mains d’œuvre avec charges sociales et patronales,]:[Charges locatives]]))</f>
        <v/>
      </c>
      <c r="L27" s="64"/>
      <c r="M27" s="64"/>
      <c r="N27" s="64"/>
      <c r="O27" s="64"/>
      <c r="P27" s="6" t="str">
        <f>IF(Tableau1747[[#This Row],[Libellé de la prestation de services]]="","",SUM(Tableau1354848[[#This Row],[Marketing]:[Livraison]]))</f>
        <v/>
      </c>
      <c r="Q27" s="63"/>
      <c r="R27" s="63"/>
      <c r="S27" s="63"/>
      <c r="T27" s="6" t="str">
        <f>IF(Tableau1747[[#This Row],[Libellé de la prestation de services]]="","",SUM(Tableau13455949[[#This Row],[services généraux]:[impôts]]))</f>
        <v/>
      </c>
      <c r="U27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7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7" s="10" t="str">
        <f>IF(Tableau1747[[#This Row],[Montant HT]]="","",Tableau134556571151[[#This Row],[Marge nette sur prestation ]]/Tableau1345561050[[#This Row],[Coût de revient unitaire]])</f>
        <v/>
      </c>
      <c r="X27" s="10" t="str">
        <f>IF(Tableau1747[[#This Row],[Montant HT]]="","",Tableau134556571151[[#This Row],[Marge nette sur prestation ]]/Tableau1747[[#This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IF(Tableau1747[[#This Row],[Libellé de la prestation de services]]="","",SUM(Tableau1747[[#This Row],[Matières premières]:[Frais de livraison liés aux achats]]))</f>
        <v/>
      </c>
      <c r="I28" s="63"/>
      <c r="J28" s="63"/>
      <c r="K28" s="6" t="str">
        <f>IF(Tableau1747[[#This Row],[Libellé de la prestation de services]]="","",SUM(Tableau1747[[#This Row],[Mains d’œuvre avec charges sociales et patronales,]:[Charges locatives]]))</f>
        <v/>
      </c>
      <c r="L28" s="64"/>
      <c r="M28" s="64"/>
      <c r="N28" s="64"/>
      <c r="O28" s="64"/>
      <c r="P28" s="6" t="str">
        <f>IF(Tableau1747[[#This Row],[Libellé de la prestation de services]]="","",SUM(Tableau1354848[[#This Row],[Marketing]:[Livraison]]))</f>
        <v/>
      </c>
      <c r="Q28" s="63"/>
      <c r="R28" s="63"/>
      <c r="S28" s="63"/>
      <c r="T28" s="6" t="str">
        <f>IF(Tableau1747[[#This Row],[Libellé de la prestation de services]]="","",SUM(Tableau13455949[[#This Row],[services généraux]:[impôts]]))</f>
        <v/>
      </c>
      <c r="U28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8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8" s="10" t="str">
        <f>IF(Tableau1747[[#This Row],[Montant HT]]="","",Tableau134556571151[[#This Row],[Marge nette sur prestation ]]/Tableau1345561050[[#This Row],[Coût de revient unitaire]])</f>
        <v/>
      </c>
      <c r="X28" s="10" t="str">
        <f>IF(Tableau1747[[#This Row],[Montant HT]]="","",Tableau134556571151[[#This Row],[Marge nette sur prestation ]]/Tableau1747[[#This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IF(Tableau1747[[#This Row],[Libellé de la prestation de services]]="","",SUM(Tableau1747[[#This Row],[Matières premières]:[Frais de livraison liés aux achats]]))</f>
        <v/>
      </c>
      <c r="I29" s="63"/>
      <c r="J29" s="63"/>
      <c r="K29" s="6" t="str">
        <f>IF(Tableau1747[[#This Row],[Libellé de la prestation de services]]="","",SUM(Tableau1747[[#This Row],[Mains d’œuvre avec charges sociales et patronales,]:[Charges locatives]]))</f>
        <v/>
      </c>
      <c r="L29" s="64"/>
      <c r="M29" s="64"/>
      <c r="N29" s="64"/>
      <c r="O29" s="64"/>
      <c r="P29" s="6" t="str">
        <f>IF(Tableau1747[[#This Row],[Libellé de la prestation de services]]="","",SUM(Tableau1354848[[#This Row],[Marketing]:[Livraison]]))</f>
        <v/>
      </c>
      <c r="Q29" s="63"/>
      <c r="R29" s="63"/>
      <c r="S29" s="63"/>
      <c r="T29" s="6" t="str">
        <f>IF(Tableau1747[[#This Row],[Libellé de la prestation de services]]="","",SUM(Tableau13455949[[#This Row],[services généraux]:[impôts]]))</f>
        <v/>
      </c>
      <c r="U29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29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29" s="10" t="str">
        <f>IF(Tableau1747[[#This Row],[Montant HT]]="","",Tableau134556571151[[#This Row],[Marge nette sur prestation ]]/Tableau1345561050[[#This Row],[Coût de revient unitaire]])</f>
        <v/>
      </c>
      <c r="X29" s="10" t="str">
        <f>IF(Tableau1747[[#This Row],[Montant HT]]="","",Tableau134556571151[[#This Row],[Marge nette sur prestation ]]/Tableau1747[[#This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IF(Tableau1747[[#This Row],[Libellé de la prestation de services]]="","",SUM(Tableau1747[[#This Row],[Matières premières]:[Frais de livraison liés aux achats]]))</f>
        <v/>
      </c>
      <c r="I30" s="63"/>
      <c r="J30" s="63"/>
      <c r="K30" s="6" t="str">
        <f>IF(Tableau1747[[#This Row],[Libellé de la prestation de services]]="","",SUM(Tableau1747[[#This Row],[Mains d’œuvre avec charges sociales et patronales,]:[Charges locatives]]))</f>
        <v/>
      </c>
      <c r="L30" s="64"/>
      <c r="M30" s="64"/>
      <c r="N30" s="64"/>
      <c r="O30" s="64"/>
      <c r="P30" s="6" t="str">
        <f>IF(Tableau1747[[#This Row],[Libellé de la prestation de services]]="","",SUM(Tableau1354848[[#This Row],[Marketing]:[Livraison]]))</f>
        <v/>
      </c>
      <c r="Q30" s="63"/>
      <c r="R30" s="63"/>
      <c r="S30" s="63"/>
      <c r="T30" s="6" t="str">
        <f>IF(Tableau1747[[#This Row],[Libellé de la prestation de services]]="","",SUM(Tableau13455949[[#This Row],[services généraux]:[impôts]]))</f>
        <v/>
      </c>
      <c r="U30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0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0" s="10" t="str">
        <f>IF(Tableau1747[[#This Row],[Montant HT]]="","",Tableau134556571151[[#This Row],[Marge nette sur prestation ]]/Tableau1345561050[[#This Row],[Coût de revient unitaire]])</f>
        <v/>
      </c>
      <c r="X30" s="10" t="str">
        <f>IF(Tableau1747[[#This Row],[Montant HT]]="","",Tableau134556571151[[#This Row],[Marge nette sur prestation ]]/Tableau1747[[#This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IF(Tableau1747[[#This Row],[Libellé de la prestation de services]]="","",SUM(Tableau1747[[#This Row],[Matières premières]:[Frais de livraison liés aux achats]]))</f>
        <v/>
      </c>
      <c r="I31" s="63"/>
      <c r="J31" s="63"/>
      <c r="K31" s="6" t="str">
        <f>IF(Tableau1747[[#This Row],[Libellé de la prestation de services]]="","",SUM(Tableau1747[[#This Row],[Mains d’œuvre avec charges sociales et patronales,]:[Charges locatives]]))</f>
        <v/>
      </c>
      <c r="L31" s="64"/>
      <c r="M31" s="64"/>
      <c r="N31" s="64"/>
      <c r="O31" s="64"/>
      <c r="P31" s="6" t="str">
        <f>IF(Tableau1747[[#This Row],[Libellé de la prestation de services]]="","",SUM(Tableau1354848[[#This Row],[Marketing]:[Livraison]]))</f>
        <v/>
      </c>
      <c r="Q31" s="63"/>
      <c r="R31" s="63"/>
      <c r="S31" s="63"/>
      <c r="T31" s="6" t="str">
        <f>IF(Tableau1747[[#This Row],[Libellé de la prestation de services]]="","",SUM(Tableau13455949[[#This Row],[services généraux]:[impôts]]))</f>
        <v/>
      </c>
      <c r="U31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1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1" s="10" t="str">
        <f>IF(Tableau1747[[#This Row],[Montant HT]]="","",Tableau134556571151[[#This Row],[Marge nette sur prestation ]]/Tableau1345561050[[#This Row],[Coût de revient unitaire]])</f>
        <v/>
      </c>
      <c r="X31" s="10" t="str">
        <f>IF(Tableau1747[[#This Row],[Montant HT]]="","",Tableau134556571151[[#This Row],[Marge nette sur prestation ]]/Tableau1747[[#This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IF(Tableau1747[[#This Row],[Libellé de la prestation de services]]="","",SUM(Tableau1747[[#This Row],[Matières premières]:[Frais de livraison liés aux achats]]))</f>
        <v/>
      </c>
      <c r="I32" s="63"/>
      <c r="J32" s="63"/>
      <c r="K32" s="6" t="str">
        <f>IF(Tableau1747[[#This Row],[Libellé de la prestation de services]]="","",SUM(Tableau1747[[#This Row],[Mains d’œuvre avec charges sociales et patronales,]:[Charges locatives]]))</f>
        <v/>
      </c>
      <c r="L32" s="64"/>
      <c r="M32" s="64"/>
      <c r="N32" s="64"/>
      <c r="O32" s="64"/>
      <c r="P32" s="6" t="str">
        <f>IF(Tableau1747[[#This Row],[Libellé de la prestation de services]]="","",SUM(Tableau1354848[[#This Row],[Marketing]:[Livraison]]))</f>
        <v/>
      </c>
      <c r="Q32" s="63"/>
      <c r="R32" s="63"/>
      <c r="S32" s="63"/>
      <c r="T32" s="6" t="str">
        <f>IF(Tableau1747[[#This Row],[Libellé de la prestation de services]]="","",SUM(Tableau13455949[[#This Row],[services généraux]:[impôts]]))</f>
        <v/>
      </c>
      <c r="U32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2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2" s="10" t="str">
        <f>IF(Tableau1747[[#This Row],[Montant HT]]="","",Tableau134556571151[[#This Row],[Marge nette sur prestation ]]/Tableau1345561050[[#This Row],[Coût de revient unitaire]])</f>
        <v/>
      </c>
      <c r="X32" s="10" t="str">
        <f>IF(Tableau1747[[#This Row],[Montant HT]]="","",Tableau134556571151[[#This Row],[Marge nette sur prestation ]]/Tableau1747[[#This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IF(Tableau1747[[#This Row],[Libellé de la prestation de services]]="","",SUM(Tableau1747[[#This Row],[Matières premières]:[Frais de livraison liés aux achats]]))</f>
        <v/>
      </c>
      <c r="I33" s="63"/>
      <c r="J33" s="63"/>
      <c r="K33" s="6" t="str">
        <f>IF(Tableau1747[[#This Row],[Libellé de la prestation de services]]="","",SUM(Tableau1747[[#This Row],[Mains d’œuvre avec charges sociales et patronales,]:[Charges locatives]]))</f>
        <v/>
      </c>
      <c r="L33" s="64"/>
      <c r="M33" s="64"/>
      <c r="N33" s="64"/>
      <c r="O33" s="64"/>
      <c r="P33" s="6" t="str">
        <f>IF(Tableau1747[[#This Row],[Libellé de la prestation de services]]="","",SUM(Tableau1354848[[#This Row],[Marketing]:[Livraison]]))</f>
        <v/>
      </c>
      <c r="Q33" s="63"/>
      <c r="R33" s="63"/>
      <c r="S33" s="63"/>
      <c r="T33" s="6" t="str">
        <f>IF(Tableau1747[[#This Row],[Libellé de la prestation de services]]="","",SUM(Tableau13455949[[#This Row],[services généraux]:[impôts]]))</f>
        <v/>
      </c>
      <c r="U33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3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3" s="10" t="str">
        <f>IF(Tableau1747[[#This Row],[Montant HT]]="","",Tableau134556571151[[#This Row],[Marge nette sur prestation ]]/Tableau1345561050[[#This Row],[Coût de revient unitaire]])</f>
        <v/>
      </c>
      <c r="X33" s="10" t="str">
        <f>IF(Tableau1747[[#This Row],[Montant HT]]="","",Tableau134556571151[[#This Row],[Marge nette sur prestation ]]/Tableau1747[[#This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IF(Tableau1747[[#This Row],[Libellé de la prestation de services]]="","",SUM(Tableau1747[[#This Row],[Matières premières]:[Frais de livraison liés aux achats]]))</f>
        <v/>
      </c>
      <c r="I34" s="63"/>
      <c r="J34" s="63"/>
      <c r="K34" s="6" t="str">
        <f>IF(Tableau1747[[#This Row],[Libellé de la prestation de services]]="","",SUM(Tableau1747[[#This Row],[Mains d’œuvre avec charges sociales et patronales,]:[Charges locatives]]))</f>
        <v/>
      </c>
      <c r="L34" s="64"/>
      <c r="M34" s="64"/>
      <c r="N34" s="64"/>
      <c r="O34" s="64"/>
      <c r="P34" s="6" t="str">
        <f>IF(Tableau1747[[#This Row],[Libellé de la prestation de services]]="","",SUM(Tableau1354848[[#This Row],[Marketing]:[Livraison]]))</f>
        <v/>
      </c>
      <c r="Q34" s="63"/>
      <c r="R34" s="63"/>
      <c r="S34" s="63"/>
      <c r="T34" s="6" t="str">
        <f>IF(Tableau1747[[#This Row],[Libellé de la prestation de services]]="","",SUM(Tableau13455949[[#This Row],[services généraux]:[impôts]]))</f>
        <v/>
      </c>
      <c r="U34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4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4" s="10" t="str">
        <f>IF(Tableau1747[[#This Row],[Montant HT]]="","",Tableau134556571151[[#This Row],[Marge nette sur prestation ]]/Tableau1345561050[[#This Row],[Coût de revient unitaire]])</f>
        <v/>
      </c>
      <c r="X34" s="10" t="str">
        <f>IF(Tableau1747[[#This Row],[Montant HT]]="","",Tableau134556571151[[#This Row],[Marge nette sur prestation ]]/Tableau1747[[#This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IF(Tableau1747[[#This Row],[Libellé de la prestation de services]]="","",SUM(Tableau1747[[#This Row],[Matières premières]:[Frais de livraison liés aux achats]]))</f>
        <v/>
      </c>
      <c r="I35" s="63"/>
      <c r="J35" s="63"/>
      <c r="K35" s="6" t="str">
        <f>IF(Tableau1747[[#This Row],[Libellé de la prestation de services]]="","",SUM(Tableau1747[[#This Row],[Mains d’œuvre avec charges sociales et patronales,]:[Charges locatives]]))</f>
        <v/>
      </c>
      <c r="L35" s="64"/>
      <c r="M35" s="64"/>
      <c r="N35" s="64"/>
      <c r="O35" s="64"/>
      <c r="P35" s="6" t="str">
        <f>IF(Tableau1747[[#This Row],[Libellé de la prestation de services]]="","",SUM(Tableau1354848[[#This Row],[Marketing]:[Livraison]]))</f>
        <v/>
      </c>
      <c r="Q35" s="63"/>
      <c r="R35" s="63"/>
      <c r="S35" s="63"/>
      <c r="T35" s="6" t="str">
        <f>IF(Tableau1747[[#This Row],[Libellé de la prestation de services]]="","",SUM(Tableau13455949[[#This Row],[services généraux]:[impôts]]))</f>
        <v/>
      </c>
      <c r="U35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5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5" s="10" t="str">
        <f>IF(Tableau1747[[#This Row],[Montant HT]]="","",Tableau134556571151[[#This Row],[Marge nette sur prestation ]]/Tableau1345561050[[#This Row],[Coût de revient unitaire]])</f>
        <v/>
      </c>
      <c r="X35" s="10" t="str">
        <f>IF(Tableau1747[[#This Row],[Montant HT]]="","",Tableau134556571151[[#This Row],[Marge nette sur prestation ]]/Tableau1747[[#This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IF(Tableau1747[[#This Row],[Libellé de la prestation de services]]="","",SUM(Tableau1747[[#This Row],[Matières premières]:[Frais de livraison liés aux achats]]))</f>
        <v/>
      </c>
      <c r="I36" s="63"/>
      <c r="J36" s="63"/>
      <c r="K36" s="6" t="str">
        <f>IF(Tableau1747[[#This Row],[Libellé de la prestation de services]]="","",SUM(Tableau1747[[#This Row],[Mains d’œuvre avec charges sociales et patronales,]:[Charges locatives]]))</f>
        <v/>
      </c>
      <c r="L36" s="64"/>
      <c r="M36" s="64"/>
      <c r="N36" s="64"/>
      <c r="O36" s="64"/>
      <c r="P36" s="6" t="str">
        <f>IF(Tableau1747[[#This Row],[Libellé de la prestation de services]]="","",SUM(Tableau1354848[[#This Row],[Marketing]:[Livraison]]))</f>
        <v/>
      </c>
      <c r="Q36" s="63"/>
      <c r="R36" s="63"/>
      <c r="S36" s="63"/>
      <c r="T36" s="6" t="str">
        <f>IF(Tableau1747[[#This Row],[Libellé de la prestation de services]]="","",SUM(Tableau13455949[[#This Row],[services généraux]:[impôts]]))</f>
        <v/>
      </c>
      <c r="U36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6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6" s="10" t="str">
        <f>IF(Tableau1747[[#This Row],[Montant HT]]="","",Tableau134556571151[[#This Row],[Marge nette sur prestation ]]/Tableau1345561050[[#This Row],[Coût de revient unitaire]])</f>
        <v/>
      </c>
      <c r="X36" s="10" t="str">
        <f>IF(Tableau1747[[#This Row],[Montant HT]]="","",Tableau134556571151[[#This Row],[Marge nette sur prestation ]]/Tableau1747[[#This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IF(Tableau1747[[#This Row],[Libellé de la prestation de services]]="","",SUM(Tableau1747[[#This Row],[Matières premières]:[Frais de livraison liés aux achats]]))</f>
        <v/>
      </c>
      <c r="I37" s="63"/>
      <c r="J37" s="63"/>
      <c r="K37" s="6" t="str">
        <f>IF(Tableau1747[[#This Row],[Libellé de la prestation de services]]="","",SUM(Tableau1747[[#This Row],[Mains d’œuvre avec charges sociales et patronales,]:[Charges locatives]]))</f>
        <v/>
      </c>
      <c r="L37" s="64"/>
      <c r="M37" s="64"/>
      <c r="N37" s="64"/>
      <c r="O37" s="64"/>
      <c r="P37" s="6" t="str">
        <f>IF(Tableau1747[[#This Row],[Libellé de la prestation de services]]="","",SUM(Tableau1354848[[#This Row],[Marketing]:[Livraison]]))</f>
        <v/>
      </c>
      <c r="Q37" s="63"/>
      <c r="R37" s="63"/>
      <c r="S37" s="63"/>
      <c r="T37" s="6" t="str">
        <f>IF(Tableau1747[[#This Row],[Libellé de la prestation de services]]="","",SUM(Tableau13455949[[#This Row],[services généraux]:[impôts]]))</f>
        <v/>
      </c>
      <c r="U37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7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7" s="10" t="str">
        <f>IF(Tableau1747[[#This Row],[Montant HT]]="","",Tableau134556571151[[#This Row],[Marge nette sur prestation ]]/Tableau1345561050[[#This Row],[Coût de revient unitaire]])</f>
        <v/>
      </c>
      <c r="X37" s="10" t="str">
        <f>IF(Tableau1747[[#This Row],[Montant HT]]="","",Tableau134556571151[[#This Row],[Marge nette sur prestation ]]/Tableau1747[[#This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IF(Tableau1747[[#This Row],[Libellé de la prestation de services]]="","",SUM(Tableau1747[[#This Row],[Matières premières]:[Frais de livraison liés aux achats]]))</f>
        <v/>
      </c>
      <c r="I38" s="63"/>
      <c r="J38" s="63"/>
      <c r="K38" s="6" t="str">
        <f>IF(Tableau1747[[#This Row],[Libellé de la prestation de services]]="","",SUM(Tableau1747[[#This Row],[Mains d’œuvre avec charges sociales et patronales,]:[Charges locatives]]))</f>
        <v/>
      </c>
      <c r="L38" s="64"/>
      <c r="M38" s="64"/>
      <c r="N38" s="64"/>
      <c r="O38" s="64"/>
      <c r="P38" s="6" t="str">
        <f>IF(Tableau1747[[#This Row],[Libellé de la prestation de services]]="","",SUM(Tableau1354848[[#This Row],[Marketing]:[Livraison]]))</f>
        <v/>
      </c>
      <c r="Q38" s="63"/>
      <c r="R38" s="63"/>
      <c r="S38" s="63"/>
      <c r="T38" s="6" t="str">
        <f>IF(Tableau1747[[#This Row],[Libellé de la prestation de services]]="","",SUM(Tableau13455949[[#This Row],[services généraux]:[impôts]]))</f>
        <v/>
      </c>
      <c r="U38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8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8" s="10" t="str">
        <f>IF(Tableau1747[[#This Row],[Montant HT]]="","",Tableau134556571151[[#This Row],[Marge nette sur prestation ]]/Tableau1345561050[[#This Row],[Coût de revient unitaire]])</f>
        <v/>
      </c>
      <c r="X38" s="10" t="str">
        <f>IF(Tableau1747[[#This Row],[Montant HT]]="","",Tableau134556571151[[#This Row],[Marge nette sur prestation ]]/Tableau1747[[#This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IF(Tableau1747[[#This Row],[Libellé de la prestation de services]]="","",SUM(Tableau1747[[#This Row],[Matières premières]:[Frais de livraison liés aux achats]]))</f>
        <v/>
      </c>
      <c r="I39" s="63"/>
      <c r="J39" s="63"/>
      <c r="K39" s="6" t="str">
        <f>IF(Tableau1747[[#This Row],[Libellé de la prestation de services]]="","",SUM(Tableau1747[[#This Row],[Mains d’œuvre avec charges sociales et patronales,]:[Charges locatives]]))</f>
        <v/>
      </c>
      <c r="L39" s="64"/>
      <c r="M39" s="64"/>
      <c r="N39" s="64"/>
      <c r="O39" s="64"/>
      <c r="P39" s="6" t="str">
        <f>IF(Tableau1747[[#This Row],[Libellé de la prestation de services]]="","",SUM(Tableau1354848[[#This Row],[Marketing]:[Livraison]]))</f>
        <v/>
      </c>
      <c r="Q39" s="63"/>
      <c r="R39" s="63"/>
      <c r="S39" s="63"/>
      <c r="T39" s="6" t="str">
        <f>IF(Tableau1747[[#This Row],[Libellé de la prestation de services]]="","",SUM(Tableau13455949[[#This Row],[services généraux]:[impôts]]))</f>
        <v/>
      </c>
      <c r="U39" s="9" t="str">
        <f>IF(Tableau1747[[#This Row],[Libellé de la prestation de services]]="","",Tableau1747[[#This Row],[Couts d''achat et d''approvisionnement]]+Tableau1354848[[#This Row],[Coûts de production]]+Tableau13455949[[#This Row],[Coûts de commercialisation et distribution]]+Tableau1345561050[[#This Row],[Coûts administratifs]])</f>
        <v/>
      </c>
      <c r="V39" s="9" t="str">
        <f>IF(Tableau1747[[#This Row],[Libellé de la prestation de services]]="","",Tableau1747[[#This Row],[Montant HT]]-Tableau1354848[[#This Row],[Coûts de production]]-Tableau13455949[[#This Row],[Coûts de commercialisation et distribution]]-Tableau1345561050[[#This Row],[Coûts administratifs]])</f>
        <v/>
      </c>
      <c r="W39" s="10" t="str">
        <f>IF(Tableau1747[[#This Row],[Montant HT]]="","",Tableau134556571151[[#This Row],[Marge nette sur prestation ]]/Tableau1345561050[[#This Row],[Coût de revient unitaire]])</f>
        <v/>
      </c>
      <c r="X39" s="10" t="str">
        <f>IF(Tableau1747[[#This Row],[Montant HT]]="","",Tableau134556571151[[#This Row],[Marge nette sur prestation ]]/Tableau1747[[#This Row],[Montant HT]])</f>
        <v/>
      </c>
    </row>
    <row r="40" spans="1:24" ht="15.75" x14ac:dyDescent="0.25">
      <c r="A40" s="8"/>
      <c r="B40" s="8">
        <f>SUBTOTAL(103,Tableau1747[Libellé de la prestation de services])</f>
        <v>0</v>
      </c>
      <c r="C40" s="7">
        <f>SUBTOTAL(109,Tableau1747[Montant HT])</f>
        <v>0</v>
      </c>
      <c r="D40" s="7">
        <f>SUBTOTAL(109,Tableau1747[Matières premières])</f>
        <v>0</v>
      </c>
      <c r="E40" s="7">
        <f>SUBTOTAL(109,Tableau1747[Marchandises])</f>
        <v>0</v>
      </c>
      <c r="F40" s="7">
        <f>SUBTOTAL(109,Tableau1747[Consommables])</f>
        <v>0</v>
      </c>
      <c r="G40" s="7">
        <f>SUBTOTAL(109,Tableau1747[Frais de livraison liés aux achats])</f>
        <v>0</v>
      </c>
      <c r="H40" s="7">
        <f>SUBTOTAL(109,Tableau1747[Couts d''achat et d''approvisionnement])</f>
        <v>0</v>
      </c>
      <c r="I40" s="7">
        <f>SUBTOTAL(109,Tableau1747[Mains d’œuvre avec charges sociales et patronales,])</f>
        <v>0</v>
      </c>
      <c r="J40" s="7">
        <f>SUBTOTAL(109,Tableau1747[Charges locatives])</f>
        <v>0</v>
      </c>
      <c r="K40" s="7">
        <f>SUBTOTAL(109,Tableau1354848[Coûts de production])</f>
        <v>0</v>
      </c>
      <c r="L40" s="7">
        <f>SUBTOTAL(109,Tableau1354848[Marketing])</f>
        <v>0</v>
      </c>
      <c r="M40" s="7">
        <f>SUBTOTAL(109,Tableau1354848[Prospection])</f>
        <v>0</v>
      </c>
      <c r="N40" s="7">
        <f>SUBTOTAL(109,Tableau1354848[Commerciaux])</f>
        <v>0</v>
      </c>
      <c r="O40" s="7">
        <f>SUBTOTAL(109,Tableau1354848[Livraison])</f>
        <v>0</v>
      </c>
      <c r="P40" s="7">
        <f>SUBTOTAL(109,Tableau13455949[Coûts de commercialisation et distribution])</f>
        <v>0</v>
      </c>
      <c r="Q40" s="7">
        <f>SUBTOTAL(109,Tableau13455949[services généraux])</f>
        <v>0</v>
      </c>
      <c r="R40" s="7">
        <f>SUBTOTAL(109,Tableau13455949[frais divers])</f>
        <v>0</v>
      </c>
      <c r="S40" s="7">
        <f>SUBTOTAL(109,Tableau13455949[impôts])</f>
        <v>0</v>
      </c>
      <c r="T40" s="7">
        <f>SUBTOTAL(109,Tableau1345561050[Coûts administratifs])</f>
        <v>0</v>
      </c>
      <c r="U40" s="7">
        <f>SUBTOTAL(109,Tableau1345561050[Coût de revient unitaire])</f>
        <v>0</v>
      </c>
      <c r="V40" s="7">
        <f>SUBTOTAL(109,Tableau134556571151[[Marge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zoomScaleSheetLayoutView="4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IF(Tableau1752[[#This Row],[Libellé de la prestation de services]]="","",SUM(Tableau1752[[#This Row],[Matières premières]:[Frais de livraison liés aux achats]]))</f>
        <v/>
      </c>
      <c r="I3" s="63"/>
      <c r="J3" s="63"/>
      <c r="K3" s="6" t="str">
        <f>IF(Tableau1752[[#This Row],[Libellé de la prestation de services]]="","",SUM(Tableau1752[[#This Row],[Mains d’œuvre avec charges sociales et patronales,]:[Charges locatives]]))</f>
        <v/>
      </c>
      <c r="L3" s="64"/>
      <c r="M3" s="64"/>
      <c r="N3" s="64"/>
      <c r="O3" s="64"/>
      <c r="P3" s="6" t="str">
        <f>IF(Tableau1752[[#This Row],[Libellé de la prestation de services]]="","",SUM(Tableau1354853[[#This Row],[Marketing]:[Livraison]]))</f>
        <v/>
      </c>
      <c r="Q3" s="63"/>
      <c r="R3" s="63"/>
      <c r="S3" s="63"/>
      <c r="T3" s="6" t="str">
        <f>IF(Tableau1752[[#This Row],[Libellé de la prestation de services]]="","",SUM(Tableau13455954[[#This Row],[services généraux]:[impôts]]))</f>
        <v/>
      </c>
      <c r="U3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" s="10" t="str">
        <f>IF(Tableau1752[[#This Row],[Montant HT]]="","",Tableau134556571156[[#This Row],[Marge nette sur prestation ]]/Tableau1345561055[[#This Row],[Coût de revient unitaire]])</f>
        <v/>
      </c>
      <c r="X3" s="10" t="str">
        <f>IF(Tableau1752[[#This Row],[Montant HT]]="","",Tableau134556571156[[#This Row],[Marge nette sur prestation ]]/Tableau1752[[#This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IF(Tableau1752[[#This Row],[Libellé de la prestation de services]]="","",SUM(Tableau1752[[#This Row],[Matières premières]:[Frais de livraison liés aux achats]]))</f>
        <v/>
      </c>
      <c r="I4" s="63"/>
      <c r="J4" s="63"/>
      <c r="K4" s="6" t="str">
        <f>IF(Tableau1752[[#This Row],[Libellé de la prestation de services]]="","",SUM(Tableau1752[[#This Row],[Mains d’œuvre avec charges sociales et patronales,]:[Charges locatives]]))</f>
        <v/>
      </c>
      <c r="L4" s="64"/>
      <c r="M4" s="64"/>
      <c r="N4" s="64"/>
      <c r="O4" s="64"/>
      <c r="P4" s="6" t="str">
        <f>IF(Tableau1752[[#This Row],[Libellé de la prestation de services]]="","",SUM(Tableau1354853[[#This Row],[Marketing]:[Livraison]]))</f>
        <v/>
      </c>
      <c r="Q4" s="63"/>
      <c r="R4" s="63"/>
      <c r="S4" s="63"/>
      <c r="T4" s="6" t="str">
        <f>IF(Tableau1752[[#This Row],[Libellé de la prestation de services]]="","",SUM(Tableau13455954[[#This Row],[services généraux]:[impôts]]))</f>
        <v/>
      </c>
      <c r="U4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4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4" s="10" t="str">
        <f>IF(Tableau1752[[#This Row],[Montant HT]]="","",Tableau134556571156[[#This Row],[Marge nette sur prestation ]]/Tableau1345561055[[#This Row],[Coût de revient unitaire]])</f>
        <v/>
      </c>
      <c r="X4" s="10" t="str">
        <f>IF(Tableau1752[[#This Row],[Montant HT]]="","",Tableau134556571156[[#This Row],[Marge nette sur prestation ]]/Tableau1752[[#This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IF(Tableau1752[[#This Row],[Libellé de la prestation de services]]="","",SUM(Tableau1752[[#This Row],[Matières premières]:[Frais de livraison liés aux achats]]))</f>
        <v/>
      </c>
      <c r="I5" s="63"/>
      <c r="J5" s="63"/>
      <c r="K5" s="6" t="str">
        <f>IF(Tableau1752[[#This Row],[Libellé de la prestation de services]]="","",SUM(Tableau1752[[#This Row],[Mains d’œuvre avec charges sociales et patronales,]:[Charges locatives]]))</f>
        <v/>
      </c>
      <c r="L5" s="64"/>
      <c r="M5" s="64"/>
      <c r="N5" s="64"/>
      <c r="O5" s="64"/>
      <c r="P5" s="6" t="str">
        <f>IF(Tableau1752[[#This Row],[Libellé de la prestation de services]]="","",SUM(Tableau1354853[[#This Row],[Marketing]:[Livraison]]))</f>
        <v/>
      </c>
      <c r="Q5" s="63"/>
      <c r="R5" s="63"/>
      <c r="S5" s="63"/>
      <c r="T5" s="6" t="str">
        <f>IF(Tableau1752[[#This Row],[Libellé de la prestation de services]]="","",SUM(Tableau13455954[[#This Row],[services généraux]:[impôts]]))</f>
        <v/>
      </c>
      <c r="U5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5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5" s="10" t="str">
        <f>IF(Tableau1752[[#This Row],[Montant HT]]="","",Tableau134556571156[[#This Row],[Marge nette sur prestation ]]/Tableau1345561055[[#This Row],[Coût de revient unitaire]])</f>
        <v/>
      </c>
      <c r="X5" s="10" t="str">
        <f>IF(Tableau1752[[#This Row],[Montant HT]]="","",Tableau134556571156[[#This Row],[Marge nette sur prestation ]]/Tableau1752[[#This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IF(Tableau1752[[#This Row],[Libellé de la prestation de services]]="","",SUM(Tableau1752[[#This Row],[Matières premières]:[Frais de livraison liés aux achats]]))</f>
        <v/>
      </c>
      <c r="I6" s="63"/>
      <c r="J6" s="63"/>
      <c r="K6" s="6" t="str">
        <f>IF(Tableau1752[[#This Row],[Libellé de la prestation de services]]="","",SUM(Tableau1752[[#This Row],[Mains d’œuvre avec charges sociales et patronales,]:[Charges locatives]]))</f>
        <v/>
      </c>
      <c r="L6" s="64"/>
      <c r="M6" s="64"/>
      <c r="N6" s="64"/>
      <c r="O6" s="64"/>
      <c r="P6" s="6" t="str">
        <f>IF(Tableau1752[[#This Row],[Libellé de la prestation de services]]="","",SUM(Tableau1354853[[#This Row],[Marketing]:[Livraison]]))</f>
        <v/>
      </c>
      <c r="Q6" s="63"/>
      <c r="R6" s="63"/>
      <c r="S6" s="63"/>
      <c r="T6" s="6" t="str">
        <f>IF(Tableau1752[[#This Row],[Libellé de la prestation de services]]="","",SUM(Tableau13455954[[#This Row],[services généraux]:[impôts]]))</f>
        <v/>
      </c>
      <c r="U6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6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6" s="10" t="str">
        <f>IF(Tableau1752[[#This Row],[Montant HT]]="","",Tableau134556571156[[#This Row],[Marge nette sur prestation ]]/Tableau1345561055[[#This Row],[Coût de revient unitaire]])</f>
        <v/>
      </c>
      <c r="X6" s="10" t="str">
        <f>IF(Tableau1752[[#This Row],[Montant HT]]="","",Tableau134556571156[[#This Row],[Marge nette sur prestation ]]/Tableau1752[[#This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IF(Tableau1752[[#This Row],[Libellé de la prestation de services]]="","",SUM(Tableau1752[[#This Row],[Matières premières]:[Frais de livraison liés aux achats]]))</f>
        <v/>
      </c>
      <c r="I7" s="63"/>
      <c r="J7" s="63"/>
      <c r="K7" s="6" t="str">
        <f>IF(Tableau1752[[#This Row],[Libellé de la prestation de services]]="","",SUM(Tableau1752[[#This Row],[Mains d’œuvre avec charges sociales et patronales,]:[Charges locatives]]))</f>
        <v/>
      </c>
      <c r="L7" s="64"/>
      <c r="M7" s="64"/>
      <c r="N7" s="64"/>
      <c r="O7" s="64"/>
      <c r="P7" s="6" t="str">
        <f>IF(Tableau1752[[#This Row],[Libellé de la prestation de services]]="","",SUM(Tableau1354853[[#This Row],[Marketing]:[Livraison]]))</f>
        <v/>
      </c>
      <c r="Q7" s="63"/>
      <c r="R7" s="63"/>
      <c r="S7" s="63"/>
      <c r="T7" s="6" t="str">
        <f>IF(Tableau1752[[#This Row],[Libellé de la prestation de services]]="","",SUM(Tableau13455954[[#This Row],[services généraux]:[impôts]]))</f>
        <v/>
      </c>
      <c r="U7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7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7" s="10" t="str">
        <f>IF(Tableau1752[[#This Row],[Montant HT]]="","",Tableau134556571156[[#This Row],[Marge nette sur prestation ]]/Tableau1345561055[[#This Row],[Coût de revient unitaire]])</f>
        <v/>
      </c>
      <c r="X7" s="10" t="str">
        <f>IF(Tableau1752[[#This Row],[Montant HT]]="","",Tableau134556571156[[#This Row],[Marge nette sur prestation ]]/Tableau1752[[#This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IF(Tableau1752[[#This Row],[Libellé de la prestation de services]]="","",SUM(Tableau1752[[#This Row],[Matières premières]:[Frais de livraison liés aux achats]]))</f>
        <v/>
      </c>
      <c r="I8" s="63"/>
      <c r="J8" s="63"/>
      <c r="K8" s="6" t="str">
        <f>IF(Tableau1752[[#This Row],[Libellé de la prestation de services]]="","",SUM(Tableau1752[[#This Row],[Mains d’œuvre avec charges sociales et patronales,]:[Charges locatives]]))</f>
        <v/>
      </c>
      <c r="L8" s="64"/>
      <c r="M8" s="64"/>
      <c r="N8" s="64"/>
      <c r="O8" s="64"/>
      <c r="P8" s="6" t="str">
        <f>IF(Tableau1752[[#This Row],[Libellé de la prestation de services]]="","",SUM(Tableau1354853[[#This Row],[Marketing]:[Livraison]]))</f>
        <v/>
      </c>
      <c r="Q8" s="63"/>
      <c r="R8" s="63"/>
      <c r="S8" s="63"/>
      <c r="T8" s="6" t="str">
        <f>IF(Tableau1752[[#This Row],[Libellé de la prestation de services]]="","",SUM(Tableau13455954[[#This Row],[services généraux]:[impôts]]))</f>
        <v/>
      </c>
      <c r="U8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8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8" s="10" t="str">
        <f>IF(Tableau1752[[#This Row],[Montant HT]]="","",Tableau134556571156[[#This Row],[Marge nette sur prestation ]]/Tableau1345561055[[#This Row],[Coût de revient unitaire]])</f>
        <v/>
      </c>
      <c r="X8" s="10" t="str">
        <f>IF(Tableau1752[[#This Row],[Montant HT]]="","",Tableau134556571156[[#This Row],[Marge nette sur prestation ]]/Tableau1752[[#This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IF(Tableau1752[[#This Row],[Libellé de la prestation de services]]="","",SUM(Tableau1752[[#This Row],[Matières premières]:[Frais de livraison liés aux achats]]))</f>
        <v/>
      </c>
      <c r="I9" s="63"/>
      <c r="J9" s="63"/>
      <c r="K9" s="6" t="str">
        <f>IF(Tableau1752[[#This Row],[Libellé de la prestation de services]]="","",SUM(Tableau1752[[#This Row],[Mains d’œuvre avec charges sociales et patronales,]:[Charges locatives]]))</f>
        <v/>
      </c>
      <c r="L9" s="64"/>
      <c r="M9" s="64"/>
      <c r="N9" s="64"/>
      <c r="O9" s="64"/>
      <c r="P9" s="6" t="str">
        <f>IF(Tableau1752[[#This Row],[Libellé de la prestation de services]]="","",SUM(Tableau1354853[[#This Row],[Marketing]:[Livraison]]))</f>
        <v/>
      </c>
      <c r="Q9" s="63"/>
      <c r="R9" s="63"/>
      <c r="S9" s="63"/>
      <c r="T9" s="6" t="str">
        <f>IF(Tableau1752[[#This Row],[Libellé de la prestation de services]]="","",SUM(Tableau13455954[[#This Row],[services généraux]:[impôts]]))</f>
        <v/>
      </c>
      <c r="U9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9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9" s="10" t="str">
        <f>IF(Tableau1752[[#This Row],[Montant HT]]="","",Tableau134556571156[[#This Row],[Marge nette sur prestation ]]/Tableau1345561055[[#This Row],[Coût de revient unitaire]])</f>
        <v/>
      </c>
      <c r="X9" s="10" t="str">
        <f>IF(Tableau1752[[#This Row],[Montant HT]]="","",Tableau134556571156[[#This Row],[Marge nette sur prestation ]]/Tableau1752[[#This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IF(Tableau1752[[#This Row],[Libellé de la prestation de services]]="","",SUM(Tableau1752[[#This Row],[Matières premières]:[Frais de livraison liés aux achats]]))</f>
        <v/>
      </c>
      <c r="I10" s="63"/>
      <c r="J10" s="63"/>
      <c r="K10" s="6" t="str">
        <f>IF(Tableau1752[[#This Row],[Libellé de la prestation de services]]="","",SUM(Tableau1752[[#This Row],[Mains d’œuvre avec charges sociales et patronales,]:[Charges locatives]]))</f>
        <v/>
      </c>
      <c r="L10" s="64"/>
      <c r="M10" s="64"/>
      <c r="N10" s="64"/>
      <c r="O10" s="64"/>
      <c r="P10" s="6" t="str">
        <f>IF(Tableau1752[[#This Row],[Libellé de la prestation de services]]="","",SUM(Tableau1354853[[#This Row],[Marketing]:[Livraison]]))</f>
        <v/>
      </c>
      <c r="Q10" s="63"/>
      <c r="R10" s="63"/>
      <c r="S10" s="63"/>
      <c r="T10" s="6" t="str">
        <f>IF(Tableau1752[[#This Row],[Libellé de la prestation de services]]="","",SUM(Tableau13455954[[#This Row],[services généraux]:[impôts]]))</f>
        <v/>
      </c>
      <c r="U10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0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0" s="10" t="str">
        <f>IF(Tableau1752[[#This Row],[Montant HT]]="","",Tableau134556571156[[#This Row],[Marge nette sur prestation ]]/Tableau1345561055[[#This Row],[Coût de revient unitaire]])</f>
        <v/>
      </c>
      <c r="X10" s="10" t="str">
        <f>IF(Tableau1752[[#This Row],[Montant HT]]="","",Tableau134556571156[[#This Row],[Marge nette sur prestation ]]/Tableau1752[[#This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IF(Tableau1752[[#This Row],[Libellé de la prestation de services]]="","",SUM(Tableau1752[[#This Row],[Matières premières]:[Frais de livraison liés aux achats]]))</f>
        <v/>
      </c>
      <c r="I11" s="63"/>
      <c r="J11" s="63"/>
      <c r="K11" s="6" t="str">
        <f>IF(Tableau1752[[#This Row],[Libellé de la prestation de services]]="","",SUM(Tableau1752[[#This Row],[Mains d’œuvre avec charges sociales et patronales,]:[Charges locatives]]))</f>
        <v/>
      </c>
      <c r="L11" s="64"/>
      <c r="M11" s="64"/>
      <c r="N11" s="64"/>
      <c r="O11" s="64"/>
      <c r="P11" s="6" t="str">
        <f>IF(Tableau1752[[#This Row],[Libellé de la prestation de services]]="","",SUM(Tableau1354853[[#This Row],[Marketing]:[Livraison]]))</f>
        <v/>
      </c>
      <c r="Q11" s="63"/>
      <c r="R11" s="63"/>
      <c r="S11" s="63"/>
      <c r="T11" s="6" t="str">
        <f>IF(Tableau1752[[#This Row],[Libellé de la prestation de services]]="","",SUM(Tableau13455954[[#This Row],[services généraux]:[impôts]]))</f>
        <v/>
      </c>
      <c r="U11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1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1" s="10" t="str">
        <f>IF(Tableau1752[[#This Row],[Montant HT]]="","",Tableau134556571156[[#This Row],[Marge nette sur prestation ]]/Tableau1345561055[[#This Row],[Coût de revient unitaire]])</f>
        <v/>
      </c>
      <c r="X11" s="10" t="str">
        <f>IF(Tableau1752[[#This Row],[Montant HT]]="","",Tableau134556571156[[#This Row],[Marge nette sur prestation ]]/Tableau1752[[#This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IF(Tableau1752[[#This Row],[Libellé de la prestation de services]]="","",SUM(Tableau1752[[#This Row],[Matières premières]:[Frais de livraison liés aux achats]]))</f>
        <v/>
      </c>
      <c r="I12" s="63"/>
      <c r="J12" s="63"/>
      <c r="K12" s="6" t="str">
        <f>IF(Tableau1752[[#This Row],[Libellé de la prestation de services]]="","",SUM(Tableau1752[[#This Row],[Mains d’œuvre avec charges sociales et patronales,]:[Charges locatives]]))</f>
        <v/>
      </c>
      <c r="L12" s="64"/>
      <c r="M12" s="64"/>
      <c r="N12" s="64"/>
      <c r="O12" s="64"/>
      <c r="P12" s="6" t="str">
        <f>IF(Tableau1752[[#This Row],[Libellé de la prestation de services]]="","",SUM(Tableau1354853[[#This Row],[Marketing]:[Livraison]]))</f>
        <v/>
      </c>
      <c r="Q12" s="63"/>
      <c r="R12" s="63"/>
      <c r="S12" s="63"/>
      <c r="T12" s="6" t="str">
        <f>IF(Tableau1752[[#This Row],[Libellé de la prestation de services]]="","",SUM(Tableau13455954[[#This Row],[services généraux]:[impôts]]))</f>
        <v/>
      </c>
      <c r="U12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2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2" s="10" t="str">
        <f>IF(Tableau1752[[#This Row],[Montant HT]]="","",Tableau134556571156[[#This Row],[Marge nette sur prestation ]]/Tableau1345561055[[#This Row],[Coût de revient unitaire]])</f>
        <v/>
      </c>
      <c r="X12" s="10" t="str">
        <f>IF(Tableau1752[[#This Row],[Montant HT]]="","",Tableau134556571156[[#This Row],[Marge nette sur prestation ]]/Tableau1752[[#This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IF(Tableau1752[[#This Row],[Libellé de la prestation de services]]="","",SUM(Tableau1752[[#This Row],[Matières premières]:[Frais de livraison liés aux achats]]))</f>
        <v/>
      </c>
      <c r="I13" s="63"/>
      <c r="J13" s="63"/>
      <c r="K13" s="6" t="str">
        <f>IF(Tableau1752[[#This Row],[Libellé de la prestation de services]]="","",SUM(Tableau1752[[#This Row],[Mains d’œuvre avec charges sociales et patronales,]:[Charges locatives]]))</f>
        <v/>
      </c>
      <c r="L13" s="64"/>
      <c r="M13" s="64"/>
      <c r="N13" s="64"/>
      <c r="O13" s="64"/>
      <c r="P13" s="6" t="str">
        <f>IF(Tableau1752[[#This Row],[Libellé de la prestation de services]]="","",SUM(Tableau1354853[[#This Row],[Marketing]:[Livraison]]))</f>
        <v/>
      </c>
      <c r="Q13" s="63"/>
      <c r="R13" s="63"/>
      <c r="S13" s="63"/>
      <c r="T13" s="6" t="str">
        <f>IF(Tableau1752[[#This Row],[Libellé de la prestation de services]]="","",SUM(Tableau13455954[[#This Row],[services généraux]:[impôts]]))</f>
        <v/>
      </c>
      <c r="U13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3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3" s="10" t="str">
        <f>IF(Tableau1752[[#This Row],[Montant HT]]="","",Tableau134556571156[[#This Row],[Marge nette sur prestation ]]/Tableau1345561055[[#This Row],[Coût de revient unitaire]])</f>
        <v/>
      </c>
      <c r="X13" s="10" t="str">
        <f>IF(Tableau1752[[#This Row],[Montant HT]]="","",Tableau134556571156[[#This Row],[Marge nette sur prestation ]]/Tableau1752[[#This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IF(Tableau1752[[#This Row],[Libellé de la prestation de services]]="","",SUM(Tableau1752[[#This Row],[Matières premières]:[Frais de livraison liés aux achats]]))</f>
        <v/>
      </c>
      <c r="I14" s="63"/>
      <c r="J14" s="63"/>
      <c r="K14" s="6" t="str">
        <f>IF(Tableau1752[[#This Row],[Libellé de la prestation de services]]="","",SUM(Tableau1752[[#This Row],[Mains d’œuvre avec charges sociales et patronales,]:[Charges locatives]]))</f>
        <v/>
      </c>
      <c r="L14" s="64"/>
      <c r="M14" s="64"/>
      <c r="N14" s="64"/>
      <c r="O14" s="64"/>
      <c r="P14" s="6" t="str">
        <f>IF(Tableau1752[[#This Row],[Libellé de la prestation de services]]="","",SUM(Tableau1354853[[#This Row],[Marketing]:[Livraison]]))</f>
        <v/>
      </c>
      <c r="Q14" s="63"/>
      <c r="R14" s="63"/>
      <c r="S14" s="63"/>
      <c r="T14" s="6" t="str">
        <f>IF(Tableau1752[[#This Row],[Libellé de la prestation de services]]="","",SUM(Tableau13455954[[#This Row],[services généraux]:[impôts]]))</f>
        <v/>
      </c>
      <c r="U14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4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4" s="10" t="str">
        <f>IF(Tableau1752[[#This Row],[Montant HT]]="","",Tableau134556571156[[#This Row],[Marge nette sur prestation ]]/Tableau1345561055[[#This Row],[Coût de revient unitaire]])</f>
        <v/>
      </c>
      <c r="X14" s="10" t="str">
        <f>IF(Tableau1752[[#This Row],[Montant HT]]="","",Tableau134556571156[[#This Row],[Marge nette sur prestation ]]/Tableau1752[[#This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IF(Tableau1752[[#This Row],[Libellé de la prestation de services]]="","",SUM(Tableau1752[[#This Row],[Matières premières]:[Frais de livraison liés aux achats]]))</f>
        <v/>
      </c>
      <c r="I15" s="63"/>
      <c r="J15" s="63"/>
      <c r="K15" s="6" t="str">
        <f>IF(Tableau1752[[#This Row],[Libellé de la prestation de services]]="","",SUM(Tableau1752[[#This Row],[Mains d’œuvre avec charges sociales et patronales,]:[Charges locatives]]))</f>
        <v/>
      </c>
      <c r="L15" s="64"/>
      <c r="M15" s="64"/>
      <c r="N15" s="64"/>
      <c r="O15" s="64"/>
      <c r="P15" s="6" t="str">
        <f>IF(Tableau1752[[#This Row],[Libellé de la prestation de services]]="","",SUM(Tableau1354853[[#This Row],[Marketing]:[Livraison]]))</f>
        <v/>
      </c>
      <c r="Q15" s="63"/>
      <c r="R15" s="63"/>
      <c r="S15" s="63"/>
      <c r="T15" s="6" t="str">
        <f>IF(Tableau1752[[#This Row],[Libellé de la prestation de services]]="","",SUM(Tableau13455954[[#This Row],[services généraux]:[impôts]]))</f>
        <v/>
      </c>
      <c r="U15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5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5" s="10" t="str">
        <f>IF(Tableau1752[[#This Row],[Montant HT]]="","",Tableau134556571156[[#This Row],[Marge nette sur prestation ]]/Tableau1345561055[[#This Row],[Coût de revient unitaire]])</f>
        <v/>
      </c>
      <c r="X15" s="10" t="str">
        <f>IF(Tableau1752[[#This Row],[Montant HT]]="","",Tableau134556571156[[#This Row],[Marge nette sur prestation ]]/Tableau1752[[#This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IF(Tableau1752[[#This Row],[Libellé de la prestation de services]]="","",SUM(Tableau1752[[#This Row],[Matières premières]:[Frais de livraison liés aux achats]]))</f>
        <v/>
      </c>
      <c r="I16" s="63"/>
      <c r="J16" s="63"/>
      <c r="K16" s="6" t="str">
        <f>IF(Tableau1752[[#This Row],[Libellé de la prestation de services]]="","",SUM(Tableau1752[[#This Row],[Mains d’œuvre avec charges sociales et patronales,]:[Charges locatives]]))</f>
        <v/>
      </c>
      <c r="L16" s="64"/>
      <c r="M16" s="64"/>
      <c r="N16" s="64"/>
      <c r="O16" s="64"/>
      <c r="P16" s="6" t="str">
        <f>IF(Tableau1752[[#This Row],[Libellé de la prestation de services]]="","",SUM(Tableau1354853[[#This Row],[Marketing]:[Livraison]]))</f>
        <v/>
      </c>
      <c r="Q16" s="63"/>
      <c r="R16" s="63"/>
      <c r="S16" s="63"/>
      <c r="T16" s="6" t="str">
        <f>IF(Tableau1752[[#This Row],[Libellé de la prestation de services]]="","",SUM(Tableau13455954[[#This Row],[services généraux]:[impôts]]))</f>
        <v/>
      </c>
      <c r="U16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6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6" s="10" t="str">
        <f>IF(Tableau1752[[#This Row],[Montant HT]]="","",Tableau134556571156[[#This Row],[Marge nette sur prestation ]]/Tableau1345561055[[#This Row],[Coût de revient unitaire]])</f>
        <v/>
      </c>
      <c r="X16" s="10" t="str">
        <f>IF(Tableau1752[[#This Row],[Montant HT]]="","",Tableau134556571156[[#This Row],[Marge nette sur prestation ]]/Tableau1752[[#This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IF(Tableau1752[[#This Row],[Libellé de la prestation de services]]="","",SUM(Tableau1752[[#This Row],[Matières premières]:[Frais de livraison liés aux achats]]))</f>
        <v/>
      </c>
      <c r="I17" s="63"/>
      <c r="J17" s="63"/>
      <c r="K17" s="6" t="str">
        <f>IF(Tableau1752[[#This Row],[Libellé de la prestation de services]]="","",SUM(Tableau1752[[#This Row],[Mains d’œuvre avec charges sociales et patronales,]:[Charges locatives]]))</f>
        <v/>
      </c>
      <c r="L17" s="64"/>
      <c r="M17" s="64"/>
      <c r="N17" s="64"/>
      <c r="O17" s="64"/>
      <c r="P17" s="6" t="str">
        <f>IF(Tableau1752[[#This Row],[Libellé de la prestation de services]]="","",SUM(Tableau1354853[[#This Row],[Marketing]:[Livraison]]))</f>
        <v/>
      </c>
      <c r="Q17" s="63"/>
      <c r="R17" s="63"/>
      <c r="S17" s="63"/>
      <c r="T17" s="6" t="str">
        <f>IF(Tableau1752[[#This Row],[Libellé de la prestation de services]]="","",SUM(Tableau13455954[[#This Row],[services généraux]:[impôts]]))</f>
        <v/>
      </c>
      <c r="U17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7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7" s="10" t="str">
        <f>IF(Tableau1752[[#This Row],[Montant HT]]="","",Tableau134556571156[[#This Row],[Marge nette sur prestation ]]/Tableau1345561055[[#This Row],[Coût de revient unitaire]])</f>
        <v/>
      </c>
      <c r="X17" s="10" t="str">
        <f>IF(Tableau1752[[#This Row],[Montant HT]]="","",Tableau134556571156[[#This Row],[Marge nette sur prestation ]]/Tableau1752[[#This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IF(Tableau1752[[#This Row],[Libellé de la prestation de services]]="","",SUM(Tableau1752[[#This Row],[Matières premières]:[Frais de livraison liés aux achats]]))</f>
        <v/>
      </c>
      <c r="I18" s="63"/>
      <c r="J18" s="63"/>
      <c r="K18" s="6" t="str">
        <f>IF(Tableau1752[[#This Row],[Libellé de la prestation de services]]="","",SUM(Tableau1752[[#This Row],[Mains d’œuvre avec charges sociales et patronales,]:[Charges locatives]]))</f>
        <v/>
      </c>
      <c r="L18" s="64"/>
      <c r="M18" s="64"/>
      <c r="N18" s="64"/>
      <c r="O18" s="64"/>
      <c r="P18" s="6" t="str">
        <f>IF(Tableau1752[[#This Row],[Libellé de la prestation de services]]="","",SUM(Tableau1354853[[#This Row],[Marketing]:[Livraison]]))</f>
        <v/>
      </c>
      <c r="Q18" s="63"/>
      <c r="R18" s="63"/>
      <c r="S18" s="63"/>
      <c r="T18" s="6" t="str">
        <f>IF(Tableau1752[[#This Row],[Libellé de la prestation de services]]="","",SUM(Tableau13455954[[#This Row],[services généraux]:[impôts]]))</f>
        <v/>
      </c>
      <c r="U18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8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8" s="10" t="str">
        <f>IF(Tableau1752[[#This Row],[Montant HT]]="","",Tableau134556571156[[#This Row],[Marge nette sur prestation ]]/Tableau1345561055[[#This Row],[Coût de revient unitaire]])</f>
        <v/>
      </c>
      <c r="X18" s="10" t="str">
        <f>IF(Tableau1752[[#This Row],[Montant HT]]="","",Tableau134556571156[[#This Row],[Marge nette sur prestation ]]/Tableau1752[[#This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IF(Tableau1752[[#This Row],[Libellé de la prestation de services]]="","",SUM(Tableau1752[[#This Row],[Matières premières]:[Frais de livraison liés aux achats]]))</f>
        <v/>
      </c>
      <c r="I19" s="63"/>
      <c r="J19" s="63"/>
      <c r="K19" s="6" t="str">
        <f>IF(Tableau1752[[#This Row],[Libellé de la prestation de services]]="","",SUM(Tableau1752[[#This Row],[Mains d’œuvre avec charges sociales et patronales,]:[Charges locatives]]))</f>
        <v/>
      </c>
      <c r="L19" s="64"/>
      <c r="M19" s="64"/>
      <c r="N19" s="64"/>
      <c r="O19" s="64"/>
      <c r="P19" s="6" t="str">
        <f>IF(Tableau1752[[#This Row],[Libellé de la prestation de services]]="","",SUM(Tableau1354853[[#This Row],[Marketing]:[Livraison]]))</f>
        <v/>
      </c>
      <c r="Q19" s="63"/>
      <c r="R19" s="63"/>
      <c r="S19" s="63"/>
      <c r="T19" s="6" t="str">
        <f>IF(Tableau1752[[#This Row],[Libellé de la prestation de services]]="","",SUM(Tableau13455954[[#This Row],[services généraux]:[impôts]]))</f>
        <v/>
      </c>
      <c r="U19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19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19" s="10" t="str">
        <f>IF(Tableau1752[[#This Row],[Montant HT]]="","",Tableau134556571156[[#This Row],[Marge nette sur prestation ]]/Tableau1345561055[[#This Row],[Coût de revient unitaire]])</f>
        <v/>
      </c>
      <c r="X19" s="10" t="str">
        <f>IF(Tableau1752[[#This Row],[Montant HT]]="","",Tableau134556571156[[#This Row],[Marge nette sur prestation ]]/Tableau1752[[#This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IF(Tableau1752[[#This Row],[Libellé de la prestation de services]]="","",SUM(Tableau1752[[#This Row],[Matières premières]:[Frais de livraison liés aux achats]]))</f>
        <v/>
      </c>
      <c r="I20" s="63"/>
      <c r="J20" s="63"/>
      <c r="K20" s="6" t="str">
        <f>IF(Tableau1752[[#This Row],[Libellé de la prestation de services]]="","",SUM(Tableau1752[[#This Row],[Mains d’œuvre avec charges sociales et patronales,]:[Charges locatives]]))</f>
        <v/>
      </c>
      <c r="L20" s="64"/>
      <c r="M20" s="64"/>
      <c r="N20" s="64"/>
      <c r="O20" s="64"/>
      <c r="P20" s="6" t="str">
        <f>IF(Tableau1752[[#This Row],[Libellé de la prestation de services]]="","",SUM(Tableau1354853[[#This Row],[Marketing]:[Livraison]]))</f>
        <v/>
      </c>
      <c r="Q20" s="63"/>
      <c r="R20" s="63"/>
      <c r="S20" s="63"/>
      <c r="T20" s="6" t="str">
        <f>IF(Tableau1752[[#This Row],[Libellé de la prestation de services]]="","",SUM(Tableau13455954[[#This Row],[services généraux]:[impôts]]))</f>
        <v/>
      </c>
      <c r="U20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0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0" s="10" t="str">
        <f>IF(Tableau1752[[#This Row],[Montant HT]]="","",Tableau134556571156[[#This Row],[Marge nette sur prestation ]]/Tableau1345561055[[#This Row],[Coût de revient unitaire]])</f>
        <v/>
      </c>
      <c r="X20" s="10" t="str">
        <f>IF(Tableau1752[[#This Row],[Montant HT]]="","",Tableau134556571156[[#This Row],[Marge nette sur prestation ]]/Tableau1752[[#This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IF(Tableau1752[[#This Row],[Libellé de la prestation de services]]="","",SUM(Tableau1752[[#This Row],[Matières premières]:[Frais de livraison liés aux achats]]))</f>
        <v/>
      </c>
      <c r="I21" s="63"/>
      <c r="J21" s="63"/>
      <c r="K21" s="6" t="str">
        <f>IF(Tableau1752[[#This Row],[Libellé de la prestation de services]]="","",SUM(Tableau1752[[#This Row],[Mains d’œuvre avec charges sociales et patronales,]:[Charges locatives]]))</f>
        <v/>
      </c>
      <c r="L21" s="64"/>
      <c r="M21" s="64"/>
      <c r="N21" s="64"/>
      <c r="O21" s="64"/>
      <c r="P21" s="6" t="str">
        <f>IF(Tableau1752[[#This Row],[Libellé de la prestation de services]]="","",SUM(Tableau1354853[[#This Row],[Marketing]:[Livraison]]))</f>
        <v/>
      </c>
      <c r="Q21" s="63"/>
      <c r="R21" s="63"/>
      <c r="S21" s="63"/>
      <c r="T21" s="6" t="str">
        <f>IF(Tableau1752[[#This Row],[Libellé de la prestation de services]]="","",SUM(Tableau13455954[[#This Row],[services généraux]:[impôts]]))</f>
        <v/>
      </c>
      <c r="U21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1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1" s="10" t="str">
        <f>IF(Tableau1752[[#This Row],[Montant HT]]="","",Tableau134556571156[[#This Row],[Marge nette sur prestation ]]/Tableau1345561055[[#This Row],[Coût de revient unitaire]])</f>
        <v/>
      </c>
      <c r="X21" s="10" t="str">
        <f>IF(Tableau1752[[#This Row],[Montant HT]]="","",Tableau134556571156[[#This Row],[Marge nette sur prestation ]]/Tableau1752[[#This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IF(Tableau1752[[#This Row],[Libellé de la prestation de services]]="","",SUM(Tableau1752[[#This Row],[Matières premières]:[Frais de livraison liés aux achats]]))</f>
        <v/>
      </c>
      <c r="I22" s="63"/>
      <c r="J22" s="63"/>
      <c r="K22" s="6" t="str">
        <f>IF(Tableau1752[[#This Row],[Libellé de la prestation de services]]="","",SUM(Tableau1752[[#This Row],[Mains d’œuvre avec charges sociales et patronales,]:[Charges locatives]]))</f>
        <v/>
      </c>
      <c r="L22" s="64"/>
      <c r="M22" s="64"/>
      <c r="N22" s="64"/>
      <c r="O22" s="64"/>
      <c r="P22" s="6" t="str">
        <f>IF(Tableau1752[[#This Row],[Libellé de la prestation de services]]="","",SUM(Tableau1354853[[#This Row],[Marketing]:[Livraison]]))</f>
        <v/>
      </c>
      <c r="Q22" s="63"/>
      <c r="R22" s="63"/>
      <c r="S22" s="63"/>
      <c r="T22" s="6" t="str">
        <f>IF(Tableau1752[[#This Row],[Libellé de la prestation de services]]="","",SUM(Tableau13455954[[#This Row],[services généraux]:[impôts]]))</f>
        <v/>
      </c>
      <c r="U22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2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2" s="10" t="str">
        <f>IF(Tableau1752[[#This Row],[Montant HT]]="","",Tableau134556571156[[#This Row],[Marge nette sur prestation ]]/Tableau1345561055[[#This Row],[Coût de revient unitaire]])</f>
        <v/>
      </c>
      <c r="X22" s="10" t="str">
        <f>IF(Tableau1752[[#This Row],[Montant HT]]="","",Tableau134556571156[[#This Row],[Marge nette sur prestation ]]/Tableau1752[[#This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IF(Tableau1752[[#This Row],[Libellé de la prestation de services]]="","",SUM(Tableau1752[[#This Row],[Matières premières]:[Frais de livraison liés aux achats]]))</f>
        <v/>
      </c>
      <c r="I23" s="63"/>
      <c r="J23" s="63"/>
      <c r="K23" s="6" t="str">
        <f>IF(Tableau1752[[#This Row],[Libellé de la prestation de services]]="","",SUM(Tableau1752[[#This Row],[Mains d’œuvre avec charges sociales et patronales,]:[Charges locatives]]))</f>
        <v/>
      </c>
      <c r="L23" s="64"/>
      <c r="M23" s="64"/>
      <c r="N23" s="64"/>
      <c r="O23" s="64"/>
      <c r="P23" s="6" t="str">
        <f>IF(Tableau1752[[#This Row],[Libellé de la prestation de services]]="","",SUM(Tableau1354853[[#This Row],[Marketing]:[Livraison]]))</f>
        <v/>
      </c>
      <c r="Q23" s="63"/>
      <c r="R23" s="63"/>
      <c r="S23" s="63"/>
      <c r="T23" s="6" t="str">
        <f>IF(Tableau1752[[#This Row],[Libellé de la prestation de services]]="","",SUM(Tableau13455954[[#This Row],[services généraux]:[impôts]]))</f>
        <v/>
      </c>
      <c r="U23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3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3" s="10" t="str">
        <f>IF(Tableau1752[[#This Row],[Montant HT]]="","",Tableau134556571156[[#This Row],[Marge nette sur prestation ]]/Tableau1345561055[[#This Row],[Coût de revient unitaire]])</f>
        <v/>
      </c>
      <c r="X23" s="10" t="str">
        <f>IF(Tableau1752[[#This Row],[Montant HT]]="","",Tableau134556571156[[#This Row],[Marge nette sur prestation ]]/Tableau1752[[#This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IF(Tableau1752[[#This Row],[Libellé de la prestation de services]]="","",SUM(Tableau1752[[#This Row],[Matières premières]:[Frais de livraison liés aux achats]]))</f>
        <v/>
      </c>
      <c r="I24" s="63"/>
      <c r="J24" s="63"/>
      <c r="K24" s="6" t="str">
        <f>IF(Tableau1752[[#This Row],[Libellé de la prestation de services]]="","",SUM(Tableau1752[[#This Row],[Mains d’œuvre avec charges sociales et patronales,]:[Charges locatives]]))</f>
        <v/>
      </c>
      <c r="L24" s="64"/>
      <c r="M24" s="64"/>
      <c r="N24" s="64"/>
      <c r="O24" s="64"/>
      <c r="P24" s="6" t="str">
        <f>IF(Tableau1752[[#This Row],[Libellé de la prestation de services]]="","",SUM(Tableau1354853[[#This Row],[Marketing]:[Livraison]]))</f>
        <v/>
      </c>
      <c r="Q24" s="63"/>
      <c r="R24" s="63"/>
      <c r="S24" s="63"/>
      <c r="T24" s="6" t="str">
        <f>IF(Tableau1752[[#This Row],[Libellé de la prestation de services]]="","",SUM(Tableau13455954[[#This Row],[services généraux]:[impôts]]))</f>
        <v/>
      </c>
      <c r="U24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4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4" s="10" t="str">
        <f>IF(Tableau1752[[#This Row],[Montant HT]]="","",Tableau134556571156[[#This Row],[Marge nette sur prestation ]]/Tableau1345561055[[#This Row],[Coût de revient unitaire]])</f>
        <v/>
      </c>
      <c r="X24" s="10" t="str">
        <f>IF(Tableau1752[[#This Row],[Montant HT]]="","",Tableau134556571156[[#This Row],[Marge nette sur prestation ]]/Tableau1752[[#This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IF(Tableau1752[[#This Row],[Libellé de la prestation de services]]="","",SUM(Tableau1752[[#This Row],[Matières premières]:[Frais de livraison liés aux achats]]))</f>
        <v/>
      </c>
      <c r="I25" s="63"/>
      <c r="J25" s="63"/>
      <c r="K25" s="6" t="str">
        <f>IF(Tableau1752[[#This Row],[Libellé de la prestation de services]]="","",SUM(Tableau1752[[#This Row],[Mains d’œuvre avec charges sociales et patronales,]:[Charges locatives]]))</f>
        <v/>
      </c>
      <c r="L25" s="64"/>
      <c r="M25" s="64"/>
      <c r="N25" s="64"/>
      <c r="O25" s="64"/>
      <c r="P25" s="6" t="str">
        <f>IF(Tableau1752[[#This Row],[Libellé de la prestation de services]]="","",SUM(Tableau1354853[[#This Row],[Marketing]:[Livraison]]))</f>
        <v/>
      </c>
      <c r="Q25" s="63"/>
      <c r="R25" s="63"/>
      <c r="S25" s="63"/>
      <c r="T25" s="6" t="str">
        <f>IF(Tableau1752[[#This Row],[Libellé de la prestation de services]]="","",SUM(Tableau13455954[[#This Row],[services généraux]:[impôts]]))</f>
        <v/>
      </c>
      <c r="U25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5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5" s="10" t="str">
        <f>IF(Tableau1752[[#This Row],[Montant HT]]="","",Tableau134556571156[[#This Row],[Marge nette sur prestation ]]/Tableau1345561055[[#This Row],[Coût de revient unitaire]])</f>
        <v/>
      </c>
      <c r="X25" s="10" t="str">
        <f>IF(Tableau1752[[#This Row],[Montant HT]]="","",Tableau134556571156[[#This Row],[Marge nette sur prestation ]]/Tableau1752[[#This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IF(Tableau1752[[#This Row],[Libellé de la prestation de services]]="","",SUM(Tableau1752[[#This Row],[Matières premières]:[Frais de livraison liés aux achats]]))</f>
        <v/>
      </c>
      <c r="I26" s="63"/>
      <c r="J26" s="63"/>
      <c r="K26" s="6" t="str">
        <f>IF(Tableau1752[[#This Row],[Libellé de la prestation de services]]="","",SUM(Tableau1752[[#This Row],[Mains d’œuvre avec charges sociales et patronales,]:[Charges locatives]]))</f>
        <v/>
      </c>
      <c r="L26" s="64"/>
      <c r="M26" s="64"/>
      <c r="N26" s="64"/>
      <c r="O26" s="64"/>
      <c r="P26" s="6" t="str">
        <f>IF(Tableau1752[[#This Row],[Libellé de la prestation de services]]="","",SUM(Tableau1354853[[#This Row],[Marketing]:[Livraison]]))</f>
        <v/>
      </c>
      <c r="Q26" s="63"/>
      <c r="R26" s="63"/>
      <c r="S26" s="63"/>
      <c r="T26" s="6" t="str">
        <f>IF(Tableau1752[[#This Row],[Libellé de la prestation de services]]="","",SUM(Tableau13455954[[#This Row],[services généraux]:[impôts]]))</f>
        <v/>
      </c>
      <c r="U26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6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6" s="10" t="str">
        <f>IF(Tableau1752[[#This Row],[Montant HT]]="","",Tableau134556571156[[#This Row],[Marge nette sur prestation ]]/Tableau1345561055[[#This Row],[Coût de revient unitaire]])</f>
        <v/>
      </c>
      <c r="X26" s="10" t="str">
        <f>IF(Tableau1752[[#This Row],[Montant HT]]="","",Tableau134556571156[[#This Row],[Marge nette sur prestation ]]/Tableau1752[[#This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IF(Tableau1752[[#This Row],[Libellé de la prestation de services]]="","",SUM(Tableau1752[[#This Row],[Matières premières]:[Frais de livraison liés aux achats]]))</f>
        <v/>
      </c>
      <c r="I27" s="63"/>
      <c r="J27" s="63"/>
      <c r="K27" s="6" t="str">
        <f>IF(Tableau1752[[#This Row],[Libellé de la prestation de services]]="","",SUM(Tableau1752[[#This Row],[Mains d’œuvre avec charges sociales et patronales,]:[Charges locatives]]))</f>
        <v/>
      </c>
      <c r="L27" s="64"/>
      <c r="M27" s="64"/>
      <c r="N27" s="64"/>
      <c r="O27" s="64"/>
      <c r="P27" s="6" t="str">
        <f>IF(Tableau1752[[#This Row],[Libellé de la prestation de services]]="","",SUM(Tableau1354853[[#This Row],[Marketing]:[Livraison]]))</f>
        <v/>
      </c>
      <c r="Q27" s="63"/>
      <c r="R27" s="63"/>
      <c r="S27" s="63"/>
      <c r="T27" s="6" t="str">
        <f>IF(Tableau1752[[#This Row],[Libellé de la prestation de services]]="","",SUM(Tableau13455954[[#This Row],[services généraux]:[impôts]]))</f>
        <v/>
      </c>
      <c r="U27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7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7" s="10" t="str">
        <f>IF(Tableau1752[[#This Row],[Montant HT]]="","",Tableau134556571156[[#This Row],[Marge nette sur prestation ]]/Tableau1345561055[[#This Row],[Coût de revient unitaire]])</f>
        <v/>
      </c>
      <c r="X27" s="10" t="str">
        <f>IF(Tableau1752[[#This Row],[Montant HT]]="","",Tableau134556571156[[#This Row],[Marge nette sur prestation ]]/Tableau1752[[#This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IF(Tableau1752[[#This Row],[Libellé de la prestation de services]]="","",SUM(Tableau1752[[#This Row],[Matières premières]:[Frais de livraison liés aux achats]]))</f>
        <v/>
      </c>
      <c r="I28" s="63"/>
      <c r="J28" s="63"/>
      <c r="K28" s="6" t="str">
        <f>IF(Tableau1752[[#This Row],[Libellé de la prestation de services]]="","",SUM(Tableau1752[[#This Row],[Mains d’œuvre avec charges sociales et patronales,]:[Charges locatives]]))</f>
        <v/>
      </c>
      <c r="L28" s="64"/>
      <c r="M28" s="64"/>
      <c r="N28" s="64"/>
      <c r="O28" s="64"/>
      <c r="P28" s="6" t="str">
        <f>IF(Tableau1752[[#This Row],[Libellé de la prestation de services]]="","",SUM(Tableau1354853[[#This Row],[Marketing]:[Livraison]]))</f>
        <v/>
      </c>
      <c r="Q28" s="63"/>
      <c r="R28" s="63"/>
      <c r="S28" s="63"/>
      <c r="T28" s="6" t="str">
        <f>IF(Tableau1752[[#This Row],[Libellé de la prestation de services]]="","",SUM(Tableau13455954[[#This Row],[services généraux]:[impôts]]))</f>
        <v/>
      </c>
      <c r="U28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8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8" s="10" t="str">
        <f>IF(Tableau1752[[#This Row],[Montant HT]]="","",Tableau134556571156[[#This Row],[Marge nette sur prestation ]]/Tableau1345561055[[#This Row],[Coût de revient unitaire]])</f>
        <v/>
      </c>
      <c r="X28" s="10" t="str">
        <f>IF(Tableau1752[[#This Row],[Montant HT]]="","",Tableau134556571156[[#This Row],[Marge nette sur prestation ]]/Tableau1752[[#This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IF(Tableau1752[[#This Row],[Libellé de la prestation de services]]="","",SUM(Tableau1752[[#This Row],[Matières premières]:[Frais de livraison liés aux achats]]))</f>
        <v/>
      </c>
      <c r="I29" s="63"/>
      <c r="J29" s="63"/>
      <c r="K29" s="6" t="str">
        <f>IF(Tableau1752[[#This Row],[Libellé de la prestation de services]]="","",SUM(Tableau1752[[#This Row],[Mains d’œuvre avec charges sociales et patronales,]:[Charges locatives]]))</f>
        <v/>
      </c>
      <c r="L29" s="64"/>
      <c r="M29" s="64"/>
      <c r="N29" s="64"/>
      <c r="O29" s="64"/>
      <c r="P29" s="6" t="str">
        <f>IF(Tableau1752[[#This Row],[Libellé de la prestation de services]]="","",SUM(Tableau1354853[[#This Row],[Marketing]:[Livraison]]))</f>
        <v/>
      </c>
      <c r="Q29" s="63"/>
      <c r="R29" s="63"/>
      <c r="S29" s="63"/>
      <c r="T29" s="6" t="str">
        <f>IF(Tableau1752[[#This Row],[Libellé de la prestation de services]]="","",SUM(Tableau13455954[[#This Row],[services généraux]:[impôts]]))</f>
        <v/>
      </c>
      <c r="U29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29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29" s="10" t="str">
        <f>IF(Tableau1752[[#This Row],[Montant HT]]="","",Tableau134556571156[[#This Row],[Marge nette sur prestation ]]/Tableau1345561055[[#This Row],[Coût de revient unitaire]])</f>
        <v/>
      </c>
      <c r="X29" s="10" t="str">
        <f>IF(Tableau1752[[#This Row],[Montant HT]]="","",Tableau134556571156[[#This Row],[Marge nette sur prestation ]]/Tableau1752[[#This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IF(Tableau1752[[#This Row],[Libellé de la prestation de services]]="","",SUM(Tableau1752[[#This Row],[Matières premières]:[Frais de livraison liés aux achats]]))</f>
        <v/>
      </c>
      <c r="I30" s="63"/>
      <c r="J30" s="63"/>
      <c r="K30" s="6" t="str">
        <f>IF(Tableau1752[[#This Row],[Libellé de la prestation de services]]="","",SUM(Tableau1752[[#This Row],[Mains d’œuvre avec charges sociales et patronales,]:[Charges locatives]]))</f>
        <v/>
      </c>
      <c r="L30" s="64"/>
      <c r="M30" s="64"/>
      <c r="N30" s="64"/>
      <c r="O30" s="64"/>
      <c r="P30" s="6" t="str">
        <f>IF(Tableau1752[[#This Row],[Libellé de la prestation de services]]="","",SUM(Tableau1354853[[#This Row],[Marketing]:[Livraison]]))</f>
        <v/>
      </c>
      <c r="Q30" s="63"/>
      <c r="R30" s="63"/>
      <c r="S30" s="63"/>
      <c r="T30" s="6" t="str">
        <f>IF(Tableau1752[[#This Row],[Libellé de la prestation de services]]="","",SUM(Tableau13455954[[#This Row],[services généraux]:[impôts]]))</f>
        <v/>
      </c>
      <c r="U30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0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0" s="10" t="str">
        <f>IF(Tableau1752[[#This Row],[Montant HT]]="","",Tableau134556571156[[#This Row],[Marge nette sur prestation ]]/Tableau1345561055[[#This Row],[Coût de revient unitaire]])</f>
        <v/>
      </c>
      <c r="X30" s="10" t="str">
        <f>IF(Tableau1752[[#This Row],[Montant HT]]="","",Tableau134556571156[[#This Row],[Marge nette sur prestation ]]/Tableau1752[[#This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IF(Tableau1752[[#This Row],[Libellé de la prestation de services]]="","",SUM(Tableau1752[[#This Row],[Matières premières]:[Frais de livraison liés aux achats]]))</f>
        <v/>
      </c>
      <c r="I31" s="63"/>
      <c r="J31" s="63"/>
      <c r="K31" s="6" t="str">
        <f>IF(Tableau1752[[#This Row],[Libellé de la prestation de services]]="","",SUM(Tableau1752[[#This Row],[Mains d’œuvre avec charges sociales et patronales,]:[Charges locatives]]))</f>
        <v/>
      </c>
      <c r="L31" s="64"/>
      <c r="M31" s="64"/>
      <c r="N31" s="64"/>
      <c r="O31" s="64"/>
      <c r="P31" s="6" t="str">
        <f>IF(Tableau1752[[#This Row],[Libellé de la prestation de services]]="","",SUM(Tableau1354853[[#This Row],[Marketing]:[Livraison]]))</f>
        <v/>
      </c>
      <c r="Q31" s="63"/>
      <c r="R31" s="63"/>
      <c r="S31" s="63"/>
      <c r="T31" s="6" t="str">
        <f>IF(Tableau1752[[#This Row],[Libellé de la prestation de services]]="","",SUM(Tableau13455954[[#This Row],[services généraux]:[impôts]]))</f>
        <v/>
      </c>
      <c r="U31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1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1" s="10" t="str">
        <f>IF(Tableau1752[[#This Row],[Montant HT]]="","",Tableau134556571156[[#This Row],[Marge nette sur prestation ]]/Tableau1345561055[[#This Row],[Coût de revient unitaire]])</f>
        <v/>
      </c>
      <c r="X31" s="10" t="str">
        <f>IF(Tableau1752[[#This Row],[Montant HT]]="","",Tableau134556571156[[#This Row],[Marge nette sur prestation ]]/Tableau1752[[#This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IF(Tableau1752[[#This Row],[Libellé de la prestation de services]]="","",SUM(Tableau1752[[#This Row],[Matières premières]:[Frais de livraison liés aux achats]]))</f>
        <v/>
      </c>
      <c r="I32" s="63"/>
      <c r="J32" s="63"/>
      <c r="K32" s="6" t="str">
        <f>IF(Tableau1752[[#This Row],[Libellé de la prestation de services]]="","",SUM(Tableau1752[[#This Row],[Mains d’œuvre avec charges sociales et patronales,]:[Charges locatives]]))</f>
        <v/>
      </c>
      <c r="L32" s="64"/>
      <c r="M32" s="64"/>
      <c r="N32" s="64"/>
      <c r="O32" s="64"/>
      <c r="P32" s="6" t="str">
        <f>IF(Tableau1752[[#This Row],[Libellé de la prestation de services]]="","",SUM(Tableau1354853[[#This Row],[Marketing]:[Livraison]]))</f>
        <v/>
      </c>
      <c r="Q32" s="63"/>
      <c r="R32" s="63"/>
      <c r="S32" s="63"/>
      <c r="T32" s="6" t="str">
        <f>IF(Tableau1752[[#This Row],[Libellé de la prestation de services]]="","",SUM(Tableau13455954[[#This Row],[services généraux]:[impôts]]))</f>
        <v/>
      </c>
      <c r="U32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2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2" s="10" t="str">
        <f>IF(Tableau1752[[#This Row],[Montant HT]]="","",Tableau134556571156[[#This Row],[Marge nette sur prestation ]]/Tableau1345561055[[#This Row],[Coût de revient unitaire]])</f>
        <v/>
      </c>
      <c r="X32" s="10" t="str">
        <f>IF(Tableau1752[[#This Row],[Montant HT]]="","",Tableau134556571156[[#This Row],[Marge nette sur prestation ]]/Tableau1752[[#This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IF(Tableau1752[[#This Row],[Libellé de la prestation de services]]="","",SUM(Tableau1752[[#This Row],[Matières premières]:[Frais de livraison liés aux achats]]))</f>
        <v/>
      </c>
      <c r="I33" s="63"/>
      <c r="J33" s="63"/>
      <c r="K33" s="6" t="str">
        <f>IF(Tableau1752[[#This Row],[Libellé de la prestation de services]]="","",SUM(Tableau1752[[#This Row],[Mains d’œuvre avec charges sociales et patronales,]:[Charges locatives]]))</f>
        <v/>
      </c>
      <c r="L33" s="64"/>
      <c r="M33" s="64"/>
      <c r="N33" s="64"/>
      <c r="O33" s="64"/>
      <c r="P33" s="6" t="str">
        <f>IF(Tableau1752[[#This Row],[Libellé de la prestation de services]]="","",SUM(Tableau1354853[[#This Row],[Marketing]:[Livraison]]))</f>
        <v/>
      </c>
      <c r="Q33" s="63"/>
      <c r="R33" s="63"/>
      <c r="S33" s="63"/>
      <c r="T33" s="6" t="str">
        <f>IF(Tableau1752[[#This Row],[Libellé de la prestation de services]]="","",SUM(Tableau13455954[[#This Row],[services généraux]:[impôts]]))</f>
        <v/>
      </c>
      <c r="U33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3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3" s="10" t="str">
        <f>IF(Tableau1752[[#This Row],[Montant HT]]="","",Tableau134556571156[[#This Row],[Marge nette sur prestation ]]/Tableau1345561055[[#This Row],[Coût de revient unitaire]])</f>
        <v/>
      </c>
      <c r="X33" s="10" t="str">
        <f>IF(Tableau1752[[#This Row],[Montant HT]]="","",Tableau134556571156[[#This Row],[Marge nette sur prestation ]]/Tableau1752[[#This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IF(Tableau1752[[#This Row],[Libellé de la prestation de services]]="","",SUM(Tableau1752[[#This Row],[Matières premières]:[Frais de livraison liés aux achats]]))</f>
        <v/>
      </c>
      <c r="I34" s="63"/>
      <c r="J34" s="63"/>
      <c r="K34" s="6" t="str">
        <f>IF(Tableau1752[[#This Row],[Libellé de la prestation de services]]="","",SUM(Tableau1752[[#This Row],[Mains d’œuvre avec charges sociales et patronales,]:[Charges locatives]]))</f>
        <v/>
      </c>
      <c r="L34" s="64"/>
      <c r="M34" s="64"/>
      <c r="N34" s="64"/>
      <c r="O34" s="64"/>
      <c r="P34" s="6" t="str">
        <f>IF(Tableau1752[[#This Row],[Libellé de la prestation de services]]="","",SUM(Tableau1354853[[#This Row],[Marketing]:[Livraison]]))</f>
        <v/>
      </c>
      <c r="Q34" s="63"/>
      <c r="R34" s="63"/>
      <c r="S34" s="63"/>
      <c r="T34" s="6" t="str">
        <f>IF(Tableau1752[[#This Row],[Libellé de la prestation de services]]="","",SUM(Tableau13455954[[#This Row],[services généraux]:[impôts]]))</f>
        <v/>
      </c>
      <c r="U34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4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4" s="10" t="str">
        <f>IF(Tableau1752[[#This Row],[Montant HT]]="","",Tableau134556571156[[#This Row],[Marge nette sur prestation ]]/Tableau1345561055[[#This Row],[Coût de revient unitaire]])</f>
        <v/>
      </c>
      <c r="X34" s="10" t="str">
        <f>IF(Tableau1752[[#This Row],[Montant HT]]="","",Tableau134556571156[[#This Row],[Marge nette sur prestation ]]/Tableau1752[[#This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IF(Tableau1752[[#This Row],[Libellé de la prestation de services]]="","",SUM(Tableau1752[[#This Row],[Matières premières]:[Frais de livraison liés aux achats]]))</f>
        <v/>
      </c>
      <c r="I35" s="63"/>
      <c r="J35" s="63"/>
      <c r="K35" s="6" t="str">
        <f>IF(Tableau1752[[#This Row],[Libellé de la prestation de services]]="","",SUM(Tableau1752[[#This Row],[Mains d’œuvre avec charges sociales et patronales,]:[Charges locatives]]))</f>
        <v/>
      </c>
      <c r="L35" s="64"/>
      <c r="M35" s="64"/>
      <c r="N35" s="64"/>
      <c r="O35" s="64"/>
      <c r="P35" s="6" t="str">
        <f>IF(Tableau1752[[#This Row],[Libellé de la prestation de services]]="","",SUM(Tableau1354853[[#This Row],[Marketing]:[Livraison]]))</f>
        <v/>
      </c>
      <c r="Q35" s="63"/>
      <c r="R35" s="63"/>
      <c r="S35" s="63"/>
      <c r="T35" s="6" t="str">
        <f>IF(Tableau1752[[#This Row],[Libellé de la prestation de services]]="","",SUM(Tableau13455954[[#This Row],[services généraux]:[impôts]]))</f>
        <v/>
      </c>
      <c r="U35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5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5" s="10" t="str">
        <f>IF(Tableau1752[[#This Row],[Montant HT]]="","",Tableau134556571156[[#This Row],[Marge nette sur prestation ]]/Tableau1345561055[[#This Row],[Coût de revient unitaire]])</f>
        <v/>
      </c>
      <c r="X35" s="10" t="str">
        <f>IF(Tableau1752[[#This Row],[Montant HT]]="","",Tableau134556571156[[#This Row],[Marge nette sur prestation ]]/Tableau1752[[#This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IF(Tableau1752[[#This Row],[Libellé de la prestation de services]]="","",SUM(Tableau1752[[#This Row],[Matières premières]:[Frais de livraison liés aux achats]]))</f>
        <v/>
      </c>
      <c r="I36" s="63"/>
      <c r="J36" s="63"/>
      <c r="K36" s="6" t="str">
        <f>IF(Tableau1752[[#This Row],[Libellé de la prestation de services]]="","",SUM(Tableau1752[[#This Row],[Mains d’œuvre avec charges sociales et patronales,]:[Charges locatives]]))</f>
        <v/>
      </c>
      <c r="L36" s="64"/>
      <c r="M36" s="64"/>
      <c r="N36" s="64"/>
      <c r="O36" s="64"/>
      <c r="P36" s="6" t="str">
        <f>IF(Tableau1752[[#This Row],[Libellé de la prestation de services]]="","",SUM(Tableau1354853[[#This Row],[Marketing]:[Livraison]]))</f>
        <v/>
      </c>
      <c r="Q36" s="63"/>
      <c r="R36" s="63"/>
      <c r="S36" s="63"/>
      <c r="T36" s="6" t="str">
        <f>IF(Tableau1752[[#This Row],[Libellé de la prestation de services]]="","",SUM(Tableau13455954[[#This Row],[services généraux]:[impôts]]))</f>
        <v/>
      </c>
      <c r="U36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6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6" s="10" t="str">
        <f>IF(Tableau1752[[#This Row],[Montant HT]]="","",Tableau134556571156[[#This Row],[Marge nette sur prestation ]]/Tableau1345561055[[#This Row],[Coût de revient unitaire]])</f>
        <v/>
      </c>
      <c r="X36" s="10" t="str">
        <f>IF(Tableau1752[[#This Row],[Montant HT]]="","",Tableau134556571156[[#This Row],[Marge nette sur prestation ]]/Tableau1752[[#This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IF(Tableau1752[[#This Row],[Libellé de la prestation de services]]="","",SUM(Tableau1752[[#This Row],[Matières premières]:[Frais de livraison liés aux achats]]))</f>
        <v/>
      </c>
      <c r="I37" s="63"/>
      <c r="J37" s="63"/>
      <c r="K37" s="6" t="str">
        <f>IF(Tableau1752[[#This Row],[Libellé de la prestation de services]]="","",SUM(Tableau1752[[#This Row],[Mains d’œuvre avec charges sociales et patronales,]:[Charges locatives]]))</f>
        <v/>
      </c>
      <c r="L37" s="64"/>
      <c r="M37" s="64"/>
      <c r="N37" s="64"/>
      <c r="O37" s="64"/>
      <c r="P37" s="6" t="str">
        <f>IF(Tableau1752[[#This Row],[Libellé de la prestation de services]]="","",SUM(Tableau1354853[[#This Row],[Marketing]:[Livraison]]))</f>
        <v/>
      </c>
      <c r="Q37" s="63"/>
      <c r="R37" s="63"/>
      <c r="S37" s="63"/>
      <c r="T37" s="6" t="str">
        <f>IF(Tableau1752[[#This Row],[Libellé de la prestation de services]]="","",SUM(Tableau13455954[[#This Row],[services généraux]:[impôts]]))</f>
        <v/>
      </c>
      <c r="U37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7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7" s="10" t="str">
        <f>IF(Tableau1752[[#This Row],[Montant HT]]="","",Tableau134556571156[[#This Row],[Marge nette sur prestation ]]/Tableau1345561055[[#This Row],[Coût de revient unitaire]])</f>
        <v/>
      </c>
      <c r="X37" s="10" t="str">
        <f>IF(Tableau1752[[#This Row],[Montant HT]]="","",Tableau134556571156[[#This Row],[Marge nette sur prestation ]]/Tableau1752[[#This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IF(Tableau1752[[#This Row],[Libellé de la prestation de services]]="","",SUM(Tableau1752[[#This Row],[Matières premières]:[Frais de livraison liés aux achats]]))</f>
        <v/>
      </c>
      <c r="I38" s="63"/>
      <c r="J38" s="63"/>
      <c r="K38" s="6" t="str">
        <f>IF(Tableau1752[[#This Row],[Libellé de la prestation de services]]="","",SUM(Tableau1752[[#This Row],[Mains d’œuvre avec charges sociales et patronales,]:[Charges locatives]]))</f>
        <v/>
      </c>
      <c r="L38" s="64"/>
      <c r="M38" s="64"/>
      <c r="N38" s="64"/>
      <c r="O38" s="64"/>
      <c r="P38" s="6" t="str">
        <f>IF(Tableau1752[[#This Row],[Libellé de la prestation de services]]="","",SUM(Tableau1354853[[#This Row],[Marketing]:[Livraison]]))</f>
        <v/>
      </c>
      <c r="Q38" s="63"/>
      <c r="R38" s="63"/>
      <c r="S38" s="63"/>
      <c r="T38" s="6" t="str">
        <f>IF(Tableau1752[[#This Row],[Libellé de la prestation de services]]="","",SUM(Tableau13455954[[#This Row],[services généraux]:[impôts]]))</f>
        <v/>
      </c>
      <c r="U38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8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8" s="10" t="str">
        <f>IF(Tableau1752[[#This Row],[Montant HT]]="","",Tableau134556571156[[#This Row],[Marge nette sur prestation ]]/Tableau1345561055[[#This Row],[Coût de revient unitaire]])</f>
        <v/>
      </c>
      <c r="X38" s="10" t="str">
        <f>IF(Tableau1752[[#This Row],[Montant HT]]="","",Tableau134556571156[[#This Row],[Marge nette sur prestation ]]/Tableau1752[[#This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IF(Tableau1752[[#This Row],[Libellé de la prestation de services]]="","",SUM(Tableau1752[[#This Row],[Matières premières]:[Frais de livraison liés aux achats]]))</f>
        <v/>
      </c>
      <c r="I39" s="63"/>
      <c r="J39" s="63"/>
      <c r="K39" s="6" t="str">
        <f>IF(Tableau1752[[#This Row],[Libellé de la prestation de services]]="","",SUM(Tableau1752[[#This Row],[Mains d’œuvre avec charges sociales et patronales,]:[Charges locatives]]))</f>
        <v/>
      </c>
      <c r="L39" s="64"/>
      <c r="M39" s="64"/>
      <c r="N39" s="64"/>
      <c r="O39" s="64"/>
      <c r="P39" s="6" t="str">
        <f>IF(Tableau1752[[#This Row],[Libellé de la prestation de services]]="","",SUM(Tableau1354853[[#This Row],[Marketing]:[Livraison]]))</f>
        <v/>
      </c>
      <c r="Q39" s="63"/>
      <c r="R39" s="63"/>
      <c r="S39" s="63"/>
      <c r="T39" s="6" t="str">
        <f>IF(Tableau1752[[#This Row],[Libellé de la prestation de services]]="","",SUM(Tableau13455954[[#This Row],[services généraux]:[impôts]]))</f>
        <v/>
      </c>
      <c r="U39" s="9" t="str">
        <f>IF(Tableau1752[[#This Row],[Libellé de la prestation de services]]="","",Tableau1752[[#This Row],[Couts d''achat et d''approvisionnement]]+Tableau1354853[[#This Row],[Coûts de production]]+Tableau13455954[[#This Row],[Coûts de commercialisation et distribution]]+Tableau1345561055[[#This Row],[Coûts administratifs]])</f>
        <v/>
      </c>
      <c r="V39" s="9" t="str">
        <f>IF(Tableau1752[[#This Row],[Libellé de la prestation de services]]="","",Tableau1752[[#This Row],[Montant HT]]-Tableau1354853[[#This Row],[Coûts de production]]-Tableau13455954[[#This Row],[Coûts de commercialisation et distribution]]-Tableau1345561055[[#This Row],[Coûts administratifs]])</f>
        <v/>
      </c>
      <c r="W39" s="10" t="str">
        <f>IF(Tableau1752[[#This Row],[Montant HT]]="","",Tableau134556571156[[#This Row],[Marge nette sur prestation ]]/Tableau1345561055[[#This Row],[Coût de revient unitaire]])</f>
        <v/>
      </c>
      <c r="X39" s="10" t="str">
        <f>IF(Tableau1752[[#This Row],[Montant HT]]="","",Tableau134556571156[[#This Row],[Marge nette sur prestation ]]/Tableau1752[[#This Row],[Montant HT]])</f>
        <v/>
      </c>
    </row>
    <row r="40" spans="1:24" ht="15.75" x14ac:dyDescent="0.25">
      <c r="A40" s="8"/>
      <c r="B40" s="8">
        <f>SUBTOTAL(103,Tableau1752[Libellé de la prestation de services])</f>
        <v>0</v>
      </c>
      <c r="C40" s="7">
        <f>SUBTOTAL(109,Tableau1752[Montant HT])</f>
        <v>0</v>
      </c>
      <c r="D40" s="7">
        <f>SUBTOTAL(109,Tableau1752[Matières premières])</f>
        <v>0</v>
      </c>
      <c r="E40" s="7">
        <f>SUBTOTAL(109,Tableau1752[Marchandises])</f>
        <v>0</v>
      </c>
      <c r="F40" s="7">
        <f>SUBTOTAL(109,Tableau1752[Consommables])</f>
        <v>0</v>
      </c>
      <c r="G40" s="7">
        <f>SUBTOTAL(109,Tableau1752[Frais de livraison liés aux achats])</f>
        <v>0</v>
      </c>
      <c r="H40" s="7">
        <f>SUBTOTAL(109,Tableau1752[Couts d''achat et d''approvisionnement])</f>
        <v>0</v>
      </c>
      <c r="I40" s="7">
        <f>SUBTOTAL(109,Tableau1752[Mains d’œuvre avec charges sociales et patronales,])</f>
        <v>0</v>
      </c>
      <c r="J40" s="7">
        <f>SUBTOTAL(109,Tableau1752[Charges locatives])</f>
        <v>0</v>
      </c>
      <c r="K40" s="7">
        <f>SUBTOTAL(109,Tableau1354853[Coûts de production])</f>
        <v>0</v>
      </c>
      <c r="L40" s="7">
        <f>SUBTOTAL(109,Tableau1354853[Marketing])</f>
        <v>0</v>
      </c>
      <c r="M40" s="7">
        <f>SUBTOTAL(109,Tableau1354853[Prospection])</f>
        <v>0</v>
      </c>
      <c r="N40" s="7">
        <f>SUBTOTAL(109,Tableau1354853[Commerciaux])</f>
        <v>0</v>
      </c>
      <c r="O40" s="7">
        <f>SUBTOTAL(109,Tableau1354853[Livraison])</f>
        <v>0</v>
      </c>
      <c r="P40" s="7">
        <f>SUBTOTAL(109,Tableau13455954[Coûts de commercialisation et distribution])</f>
        <v>0</v>
      </c>
      <c r="Q40" s="7">
        <f>SUBTOTAL(109,Tableau13455954[services généraux])</f>
        <v>0</v>
      </c>
      <c r="R40" s="7">
        <f>SUBTOTAL(109,Tableau13455954[frais divers])</f>
        <v>0</v>
      </c>
      <c r="S40" s="7">
        <f>SUBTOTAL(109,Tableau13455954[impôts])</f>
        <v>0</v>
      </c>
      <c r="T40" s="7">
        <f>SUBTOTAL(109,Tableau1345561055[Coûts administratifs])</f>
        <v>0</v>
      </c>
      <c r="U40" s="7">
        <f>SUBTOTAL(109,Tableau1345561055[Coût de revient unitaire])</f>
        <v>0</v>
      </c>
      <c r="V40" s="7">
        <f>SUBTOTAL(109,Tableau134556571156[[Marge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pageSetup paperSize="9" orientation="portrait" horizontalDpi="4294967293" verticalDpi="0" r:id="rId1"/>
  <drawing r:id="rId2"/>
  <tableParts count="5">
    <tablePart r:id="rId3"/>
    <tablePart r:id="rId4"/>
    <tablePart r:id="rId5"/>
    <tablePart r:id="rId6"/>
    <tablePart r:id="rId7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B3" sqref="B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>
        <v>43405</v>
      </c>
      <c r="B3" s="62" t="s">
        <v>29</v>
      </c>
      <c r="C3" s="63"/>
      <c r="D3" s="63"/>
      <c r="E3" s="63"/>
      <c r="F3" s="63"/>
      <c r="G3" s="63"/>
      <c r="H3" s="6">
        <f>IF(Tableau175257[[#This Row],[Libellé de la prestation de services]]="","",SUM(Tableau175257[[#This Row],[Matières premières]:[Frais de livraison liés aux achats]]))</f>
        <v>0</v>
      </c>
      <c r="I3" s="63"/>
      <c r="J3" s="63"/>
      <c r="K3" s="6">
        <f>IF(Tableau175257[[#This Row],[Libellé de la prestation de services]]="","",SUM(Tableau175257[[#This Row],[Mains d’œuvre avec charges sociales et patronales,]:[Charges locatives]]))</f>
        <v>0</v>
      </c>
      <c r="L3" s="64"/>
      <c r="M3" s="64"/>
      <c r="N3" s="64"/>
      <c r="O3" s="64"/>
      <c r="P3" s="6">
        <f>IF(Tableau175257[[#This Row],[Libellé de la prestation de services]]="","",SUM(Tableau135485358[[#This Row],[Marketing]:[Livraison]]))</f>
        <v>0</v>
      </c>
      <c r="Q3" s="63"/>
      <c r="R3" s="63"/>
      <c r="S3" s="63"/>
      <c r="T3" s="6">
        <f>IF(Tableau175257[[#This Row],[Libellé de la prestation de services]]="","",SUM(Tableau1345595459[[#This Row],[services généraux]:[impôts]]))</f>
        <v>0</v>
      </c>
      <c r="U3" s="9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>0</v>
      </c>
      <c r="V3" s="9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>0</v>
      </c>
      <c r="W3" s="10" t="str">
        <f>IF(Tableau175257[[#This Row],[Montant HT]]="","",Tableau13455657115661[[#This Row],[Marge nette sur prestation ]]/Tableau134556105560[[#This Row],[Coût de revient unitaire]])</f>
        <v/>
      </c>
      <c r="X3" s="10" t="str">
        <f>IF(Tableau175257[[#This Row],[Montant HT]]="","",Tableau13455657115661[[#This Row],[Marge nette sur prestation ]]/Tableau175257[[#This Row],[Montant HT]])</f>
        <v/>
      </c>
    </row>
    <row r="4" spans="1:24" ht="15.75" x14ac:dyDescent="0.25">
      <c r="A4" s="61">
        <v>43414</v>
      </c>
      <c r="B4" s="62" t="s">
        <v>30</v>
      </c>
      <c r="C4" s="63"/>
      <c r="D4" s="63"/>
      <c r="E4" s="63"/>
      <c r="F4" s="63"/>
      <c r="G4" s="63"/>
      <c r="H4" s="6">
        <f>IF(Tableau175257[[#This Row],[Libellé de la prestation de services]]="","",SUM(Tableau175257[[#This Row],[Matières premières]:[Frais de livraison liés aux achats]]))</f>
        <v>0</v>
      </c>
      <c r="I4" s="63"/>
      <c r="J4" s="63"/>
      <c r="K4" s="6">
        <f>IF(Tableau175257[[#This Row],[Libellé de la prestation de services]]="","",SUM(Tableau175257[[#This Row],[Mains d’œuvre avec charges sociales et patronales,]:[Charges locatives]]))</f>
        <v>0</v>
      </c>
      <c r="L4" s="64"/>
      <c r="M4" s="64"/>
      <c r="N4" s="64"/>
      <c r="O4" s="64"/>
      <c r="P4" s="6">
        <f>IF(Tableau175257[[#This Row],[Libellé de la prestation de services]]="","",SUM(Tableau135485358[[#This Row],[Marketing]:[Livraison]]))</f>
        <v>0</v>
      </c>
      <c r="Q4" s="63"/>
      <c r="R4" s="63"/>
      <c r="S4" s="63"/>
      <c r="T4" s="6">
        <f>IF(Tableau175257[[#This Row],[Libellé de la prestation de services]]="","",SUM(Tableau1345595459[[#This Row],[services généraux]:[impôts]]))</f>
        <v>0</v>
      </c>
      <c r="U4" s="9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>0</v>
      </c>
      <c r="V4" s="9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>0</v>
      </c>
      <c r="W4" s="10" t="str">
        <f>IF(Tableau175257[[#This Row],[Montant HT]]="","",Tableau13455657115661[[#This Row],[Marge nette sur prestation ]]/Tableau134556105560[[#This Row],[Coût de revient unitaire]])</f>
        <v/>
      </c>
      <c r="X4" s="10" t="str">
        <f>IF(Tableau175257[[#This Row],[Montant HT]]="","",Tableau13455657115661[[#This Row],[Marge nette sur prestation ]]/Tableau175257[[#This Row],[Montant HT]])</f>
        <v/>
      </c>
    </row>
    <row r="5" spans="1:24" ht="15.75" x14ac:dyDescent="0.25">
      <c r="A5" s="61">
        <v>43419</v>
      </c>
      <c r="B5" s="62" t="s">
        <v>31</v>
      </c>
      <c r="C5" s="63"/>
      <c r="D5" s="63"/>
      <c r="E5" s="63"/>
      <c r="F5" s="63"/>
      <c r="G5" s="63"/>
      <c r="H5" s="6">
        <f>IF(Tableau175257[[#This Row],[Libellé de la prestation de services]]="","",SUM(Tableau175257[[#This Row],[Matières premières]:[Frais de livraison liés aux achats]]))</f>
        <v>0</v>
      </c>
      <c r="I5" s="63"/>
      <c r="J5" s="63"/>
      <c r="K5" s="6">
        <f>IF(Tableau175257[[#This Row],[Libellé de la prestation de services]]="","",SUM(Tableau175257[[#This Row],[Mains d’œuvre avec charges sociales et patronales,]:[Charges locatives]]))</f>
        <v>0</v>
      </c>
      <c r="L5" s="64"/>
      <c r="M5" s="64"/>
      <c r="N5" s="64"/>
      <c r="O5" s="64"/>
      <c r="P5" s="6">
        <f>IF(Tableau175257[[#This Row],[Libellé de la prestation de services]]="","",SUM(Tableau135485358[[#This Row],[Marketing]:[Livraison]]))</f>
        <v>0</v>
      </c>
      <c r="Q5" s="63"/>
      <c r="R5" s="63"/>
      <c r="S5" s="63"/>
      <c r="T5" s="6">
        <f>IF(Tableau175257[[#This Row],[Libellé de la prestation de services]]="","",SUM(Tableau1345595459[[#This Row],[services généraux]:[impôts]]))</f>
        <v>0</v>
      </c>
      <c r="U5" s="9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>0</v>
      </c>
      <c r="V5" s="9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>0</v>
      </c>
      <c r="W5" s="10" t="str">
        <f>IF(Tableau175257[[#This Row],[Montant HT]]="","",Tableau13455657115661[[#This Row],[Marge nette sur prestation ]]/Tableau134556105560[[#This Row],[Coût de revient unitaire]])</f>
        <v/>
      </c>
      <c r="X5" s="10" t="str">
        <f>IF(Tableau175257[[#This Row],[Montant HT]]="","",Tableau13455657115661[[#This Row],[Marge nette sur prestation ]]/Tableau175257[[#This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IF(Tableau175257[[#This Row],[Libellé de la prestation de services]]="","",SUM(Tableau175257[[#This Row],[Matières premières]:[Frais de livraison liés aux achats]]))</f>
        <v/>
      </c>
      <c r="I6" s="63"/>
      <c r="J6" s="63"/>
      <c r="K6" s="6" t="str">
        <f>IF(Tableau175257[[#This Row],[Libellé de la prestation de services]]="","",SUM(Tableau175257[[#This Row],[Mains d’œuvre avec charges sociales et patronales,]:[Charges locatives]]))</f>
        <v/>
      </c>
      <c r="L6" s="64"/>
      <c r="M6" s="64"/>
      <c r="N6" s="64"/>
      <c r="O6" s="64"/>
      <c r="P6" s="6" t="str">
        <f>IF(Tableau175257[[#This Row],[Libellé de la prestation de services]]="","",SUM(Tableau135485358[[#This Row],[Marketing]:[Livraison]]))</f>
        <v/>
      </c>
      <c r="Q6" s="63"/>
      <c r="R6" s="63"/>
      <c r="S6" s="63"/>
      <c r="T6" s="6" t="str">
        <f>IF(Tableau175257[[#This Row],[Libellé de la prestation de services]]="","",SUM(Tableau1345595459[[#This Row],[services généraux]:[impôts]]))</f>
        <v/>
      </c>
      <c r="U6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6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6" s="10" t="str">
        <f>IF(Tableau175257[[#This Row],[Montant HT]]="","",Tableau13455657115661[[#This Row],[Marge nette sur prestation ]]/Tableau134556105560[[#This Row],[Coût de revient unitaire]])</f>
        <v/>
      </c>
      <c r="X6" s="10" t="str">
        <f>IF(Tableau175257[[#This Row],[Montant HT]]="","",Tableau13455657115661[[#This Row],[Marge nette sur prestation ]]/Tableau175257[[#This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IF(Tableau175257[[#This Row],[Libellé de la prestation de services]]="","",SUM(Tableau175257[[#This Row],[Matières premières]:[Frais de livraison liés aux achats]]))</f>
        <v/>
      </c>
      <c r="I7" s="63"/>
      <c r="J7" s="63"/>
      <c r="K7" s="6" t="str">
        <f>IF(Tableau175257[[#This Row],[Libellé de la prestation de services]]="","",SUM(Tableau175257[[#This Row],[Mains d’œuvre avec charges sociales et patronales,]:[Charges locatives]]))</f>
        <v/>
      </c>
      <c r="L7" s="64"/>
      <c r="M7" s="64"/>
      <c r="N7" s="64"/>
      <c r="O7" s="64"/>
      <c r="P7" s="6" t="str">
        <f>IF(Tableau175257[[#This Row],[Libellé de la prestation de services]]="","",SUM(Tableau135485358[[#This Row],[Marketing]:[Livraison]]))</f>
        <v/>
      </c>
      <c r="Q7" s="63"/>
      <c r="R7" s="63"/>
      <c r="S7" s="63"/>
      <c r="T7" s="6" t="str">
        <f>IF(Tableau175257[[#This Row],[Libellé de la prestation de services]]="","",SUM(Tableau1345595459[[#This Row],[services généraux]:[impôts]]))</f>
        <v/>
      </c>
      <c r="U7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7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7" s="10" t="str">
        <f>IF(Tableau175257[[#This Row],[Montant HT]]="","",Tableau13455657115661[[#This Row],[Marge nette sur prestation ]]/Tableau134556105560[[#This Row],[Coût de revient unitaire]])</f>
        <v/>
      </c>
      <c r="X7" s="10" t="str">
        <f>IF(Tableau175257[[#This Row],[Montant HT]]="","",Tableau13455657115661[[#This Row],[Marge nette sur prestation ]]/Tableau175257[[#This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IF(Tableau175257[[#This Row],[Libellé de la prestation de services]]="","",SUM(Tableau175257[[#This Row],[Matières premières]:[Frais de livraison liés aux achats]]))</f>
        <v/>
      </c>
      <c r="I8" s="63"/>
      <c r="J8" s="63"/>
      <c r="K8" s="6" t="str">
        <f>IF(Tableau175257[[#This Row],[Libellé de la prestation de services]]="","",SUM(Tableau175257[[#This Row],[Mains d’œuvre avec charges sociales et patronales,]:[Charges locatives]]))</f>
        <v/>
      </c>
      <c r="L8" s="64"/>
      <c r="M8" s="64"/>
      <c r="N8" s="64"/>
      <c r="O8" s="64"/>
      <c r="P8" s="6" t="str">
        <f>IF(Tableau175257[[#This Row],[Libellé de la prestation de services]]="","",SUM(Tableau135485358[[#This Row],[Marketing]:[Livraison]]))</f>
        <v/>
      </c>
      <c r="Q8" s="63"/>
      <c r="R8" s="63"/>
      <c r="S8" s="63"/>
      <c r="T8" s="6" t="str">
        <f>IF(Tableau175257[[#This Row],[Libellé de la prestation de services]]="","",SUM(Tableau1345595459[[#This Row],[services généraux]:[impôts]]))</f>
        <v/>
      </c>
      <c r="U8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8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8" s="10" t="str">
        <f>IF(Tableau175257[[#This Row],[Montant HT]]="","",Tableau13455657115661[[#This Row],[Marge nette sur prestation ]]/Tableau134556105560[[#This Row],[Coût de revient unitaire]])</f>
        <v/>
      </c>
      <c r="X8" s="10" t="str">
        <f>IF(Tableau175257[[#This Row],[Montant HT]]="","",Tableau13455657115661[[#This Row],[Marge nette sur prestation ]]/Tableau175257[[#This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IF(Tableau175257[[#This Row],[Libellé de la prestation de services]]="","",SUM(Tableau175257[[#This Row],[Matières premières]:[Frais de livraison liés aux achats]]))</f>
        <v/>
      </c>
      <c r="I9" s="63"/>
      <c r="J9" s="63"/>
      <c r="K9" s="6" t="str">
        <f>IF(Tableau175257[[#This Row],[Libellé de la prestation de services]]="","",SUM(Tableau175257[[#This Row],[Mains d’œuvre avec charges sociales et patronales,]:[Charges locatives]]))</f>
        <v/>
      </c>
      <c r="L9" s="64"/>
      <c r="M9" s="64"/>
      <c r="N9" s="64"/>
      <c r="O9" s="64"/>
      <c r="P9" s="6" t="str">
        <f>IF(Tableau175257[[#This Row],[Libellé de la prestation de services]]="","",SUM(Tableau135485358[[#This Row],[Marketing]:[Livraison]]))</f>
        <v/>
      </c>
      <c r="Q9" s="63"/>
      <c r="R9" s="63"/>
      <c r="S9" s="63"/>
      <c r="T9" s="6" t="str">
        <f>IF(Tableau175257[[#This Row],[Libellé de la prestation de services]]="","",SUM(Tableau1345595459[[#This Row],[services généraux]:[impôts]]))</f>
        <v/>
      </c>
      <c r="U9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9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9" s="10" t="str">
        <f>IF(Tableau175257[[#This Row],[Montant HT]]="","",Tableau13455657115661[[#This Row],[Marge nette sur prestation ]]/Tableau134556105560[[#This Row],[Coût de revient unitaire]])</f>
        <v/>
      </c>
      <c r="X9" s="10" t="str">
        <f>IF(Tableau175257[[#This Row],[Montant HT]]="","",Tableau13455657115661[[#This Row],[Marge nette sur prestation ]]/Tableau175257[[#This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IF(Tableau175257[[#This Row],[Libellé de la prestation de services]]="","",SUM(Tableau175257[[#This Row],[Matières premières]:[Frais de livraison liés aux achats]]))</f>
        <v/>
      </c>
      <c r="I10" s="63"/>
      <c r="J10" s="63"/>
      <c r="K10" s="6" t="str">
        <f>IF(Tableau175257[[#This Row],[Libellé de la prestation de services]]="","",SUM(Tableau175257[[#This Row],[Mains d’œuvre avec charges sociales et patronales,]:[Charges locatives]]))</f>
        <v/>
      </c>
      <c r="L10" s="64"/>
      <c r="M10" s="64"/>
      <c r="N10" s="64"/>
      <c r="O10" s="64"/>
      <c r="P10" s="6" t="str">
        <f>IF(Tableau175257[[#This Row],[Libellé de la prestation de services]]="","",SUM(Tableau135485358[[#This Row],[Marketing]:[Livraison]]))</f>
        <v/>
      </c>
      <c r="Q10" s="63"/>
      <c r="R10" s="63"/>
      <c r="S10" s="63"/>
      <c r="T10" s="6" t="str">
        <f>IF(Tableau175257[[#This Row],[Libellé de la prestation de services]]="","",SUM(Tableau1345595459[[#This Row],[services généraux]:[impôts]]))</f>
        <v/>
      </c>
      <c r="U10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0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0" s="10" t="str">
        <f>IF(Tableau175257[[#This Row],[Montant HT]]="","",Tableau13455657115661[[#This Row],[Marge nette sur prestation ]]/Tableau134556105560[[#This Row],[Coût de revient unitaire]])</f>
        <v/>
      </c>
      <c r="X10" s="10" t="str">
        <f>IF(Tableau175257[[#This Row],[Montant HT]]="","",Tableau13455657115661[[#This Row],[Marge nette sur prestation ]]/Tableau175257[[#This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IF(Tableau175257[[#This Row],[Libellé de la prestation de services]]="","",SUM(Tableau175257[[#This Row],[Matières premières]:[Frais de livraison liés aux achats]]))</f>
        <v/>
      </c>
      <c r="I11" s="63"/>
      <c r="J11" s="63"/>
      <c r="K11" s="6" t="str">
        <f>IF(Tableau175257[[#This Row],[Libellé de la prestation de services]]="","",SUM(Tableau175257[[#This Row],[Mains d’œuvre avec charges sociales et patronales,]:[Charges locatives]]))</f>
        <v/>
      </c>
      <c r="L11" s="64"/>
      <c r="M11" s="64"/>
      <c r="N11" s="64"/>
      <c r="O11" s="64"/>
      <c r="P11" s="6" t="str">
        <f>IF(Tableau175257[[#This Row],[Libellé de la prestation de services]]="","",SUM(Tableau135485358[[#This Row],[Marketing]:[Livraison]]))</f>
        <v/>
      </c>
      <c r="Q11" s="63"/>
      <c r="R11" s="63"/>
      <c r="S11" s="63"/>
      <c r="T11" s="6" t="str">
        <f>IF(Tableau175257[[#This Row],[Libellé de la prestation de services]]="","",SUM(Tableau1345595459[[#This Row],[services généraux]:[impôts]]))</f>
        <v/>
      </c>
      <c r="U11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1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1" s="10" t="str">
        <f>IF(Tableau175257[[#This Row],[Montant HT]]="","",Tableau13455657115661[[#This Row],[Marge nette sur prestation ]]/Tableau134556105560[[#This Row],[Coût de revient unitaire]])</f>
        <v/>
      </c>
      <c r="X11" s="10" t="str">
        <f>IF(Tableau175257[[#This Row],[Montant HT]]="","",Tableau13455657115661[[#This Row],[Marge nette sur prestation ]]/Tableau175257[[#This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IF(Tableau175257[[#This Row],[Libellé de la prestation de services]]="","",SUM(Tableau175257[[#This Row],[Matières premières]:[Frais de livraison liés aux achats]]))</f>
        <v/>
      </c>
      <c r="I12" s="63"/>
      <c r="J12" s="63"/>
      <c r="K12" s="6" t="str">
        <f>IF(Tableau175257[[#This Row],[Libellé de la prestation de services]]="","",SUM(Tableau175257[[#This Row],[Mains d’œuvre avec charges sociales et patronales,]:[Charges locatives]]))</f>
        <v/>
      </c>
      <c r="L12" s="64"/>
      <c r="M12" s="64"/>
      <c r="N12" s="64"/>
      <c r="O12" s="64"/>
      <c r="P12" s="6" t="str">
        <f>IF(Tableau175257[[#This Row],[Libellé de la prestation de services]]="","",SUM(Tableau135485358[[#This Row],[Marketing]:[Livraison]]))</f>
        <v/>
      </c>
      <c r="Q12" s="63"/>
      <c r="R12" s="63"/>
      <c r="S12" s="63"/>
      <c r="T12" s="6" t="str">
        <f>IF(Tableau175257[[#This Row],[Libellé de la prestation de services]]="","",SUM(Tableau1345595459[[#This Row],[services généraux]:[impôts]]))</f>
        <v/>
      </c>
      <c r="U12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2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2" s="10" t="str">
        <f>IF(Tableau175257[[#This Row],[Montant HT]]="","",Tableau13455657115661[[#This Row],[Marge nette sur prestation ]]/Tableau134556105560[[#This Row],[Coût de revient unitaire]])</f>
        <v/>
      </c>
      <c r="X12" s="10" t="str">
        <f>IF(Tableau175257[[#This Row],[Montant HT]]="","",Tableau13455657115661[[#This Row],[Marge nette sur prestation ]]/Tableau175257[[#This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IF(Tableau175257[[#This Row],[Libellé de la prestation de services]]="","",SUM(Tableau175257[[#This Row],[Matières premières]:[Frais de livraison liés aux achats]]))</f>
        <v/>
      </c>
      <c r="I13" s="63"/>
      <c r="J13" s="63"/>
      <c r="K13" s="6" t="str">
        <f>IF(Tableau175257[[#This Row],[Libellé de la prestation de services]]="","",SUM(Tableau175257[[#This Row],[Mains d’œuvre avec charges sociales et patronales,]:[Charges locatives]]))</f>
        <v/>
      </c>
      <c r="L13" s="64"/>
      <c r="M13" s="64"/>
      <c r="N13" s="64"/>
      <c r="O13" s="64"/>
      <c r="P13" s="6" t="str">
        <f>IF(Tableau175257[[#This Row],[Libellé de la prestation de services]]="","",SUM(Tableau135485358[[#This Row],[Marketing]:[Livraison]]))</f>
        <v/>
      </c>
      <c r="Q13" s="63"/>
      <c r="R13" s="63"/>
      <c r="S13" s="63"/>
      <c r="T13" s="6" t="str">
        <f>IF(Tableau175257[[#This Row],[Libellé de la prestation de services]]="","",SUM(Tableau1345595459[[#This Row],[services généraux]:[impôts]]))</f>
        <v/>
      </c>
      <c r="U13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3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3" s="10" t="str">
        <f>IF(Tableau175257[[#This Row],[Montant HT]]="","",Tableau13455657115661[[#This Row],[Marge nette sur prestation ]]/Tableau134556105560[[#This Row],[Coût de revient unitaire]])</f>
        <v/>
      </c>
      <c r="X13" s="10" t="str">
        <f>IF(Tableau175257[[#This Row],[Montant HT]]="","",Tableau13455657115661[[#This Row],[Marge nette sur prestation ]]/Tableau175257[[#This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IF(Tableau175257[[#This Row],[Libellé de la prestation de services]]="","",SUM(Tableau175257[[#This Row],[Matières premières]:[Frais de livraison liés aux achats]]))</f>
        <v/>
      </c>
      <c r="I14" s="63"/>
      <c r="J14" s="63"/>
      <c r="K14" s="6" t="str">
        <f>IF(Tableau175257[[#This Row],[Libellé de la prestation de services]]="","",SUM(Tableau175257[[#This Row],[Mains d’œuvre avec charges sociales et patronales,]:[Charges locatives]]))</f>
        <v/>
      </c>
      <c r="L14" s="64"/>
      <c r="M14" s="64"/>
      <c r="N14" s="64"/>
      <c r="O14" s="64"/>
      <c r="P14" s="6" t="str">
        <f>IF(Tableau175257[[#This Row],[Libellé de la prestation de services]]="","",SUM(Tableau135485358[[#This Row],[Marketing]:[Livraison]]))</f>
        <v/>
      </c>
      <c r="Q14" s="63"/>
      <c r="R14" s="63"/>
      <c r="S14" s="63"/>
      <c r="T14" s="6" t="str">
        <f>IF(Tableau175257[[#This Row],[Libellé de la prestation de services]]="","",SUM(Tableau1345595459[[#This Row],[services généraux]:[impôts]]))</f>
        <v/>
      </c>
      <c r="U14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4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4" s="10" t="str">
        <f>IF(Tableau175257[[#This Row],[Montant HT]]="","",Tableau13455657115661[[#This Row],[Marge nette sur prestation ]]/Tableau134556105560[[#This Row],[Coût de revient unitaire]])</f>
        <v/>
      </c>
      <c r="X14" s="10" t="str">
        <f>IF(Tableau175257[[#This Row],[Montant HT]]="","",Tableau13455657115661[[#This Row],[Marge nette sur prestation ]]/Tableau175257[[#This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IF(Tableau175257[[#This Row],[Libellé de la prestation de services]]="","",SUM(Tableau175257[[#This Row],[Matières premières]:[Frais de livraison liés aux achats]]))</f>
        <v/>
      </c>
      <c r="I15" s="63"/>
      <c r="J15" s="63"/>
      <c r="K15" s="6" t="str">
        <f>IF(Tableau175257[[#This Row],[Libellé de la prestation de services]]="","",SUM(Tableau175257[[#This Row],[Mains d’œuvre avec charges sociales et patronales,]:[Charges locatives]]))</f>
        <v/>
      </c>
      <c r="L15" s="64"/>
      <c r="M15" s="64"/>
      <c r="N15" s="64"/>
      <c r="O15" s="64"/>
      <c r="P15" s="6" t="str">
        <f>IF(Tableau175257[[#This Row],[Libellé de la prestation de services]]="","",SUM(Tableau135485358[[#This Row],[Marketing]:[Livraison]]))</f>
        <v/>
      </c>
      <c r="Q15" s="63"/>
      <c r="R15" s="63"/>
      <c r="S15" s="63"/>
      <c r="T15" s="6" t="str">
        <f>IF(Tableau175257[[#This Row],[Libellé de la prestation de services]]="","",SUM(Tableau1345595459[[#This Row],[services généraux]:[impôts]]))</f>
        <v/>
      </c>
      <c r="U15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5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5" s="10" t="str">
        <f>IF(Tableau175257[[#This Row],[Montant HT]]="","",Tableau13455657115661[[#This Row],[Marge nette sur prestation ]]/Tableau134556105560[[#This Row],[Coût de revient unitaire]])</f>
        <v/>
      </c>
      <c r="X15" s="10" t="str">
        <f>IF(Tableau175257[[#This Row],[Montant HT]]="","",Tableau13455657115661[[#This Row],[Marge nette sur prestation ]]/Tableau175257[[#This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IF(Tableau175257[[#This Row],[Libellé de la prestation de services]]="","",SUM(Tableau175257[[#This Row],[Matières premières]:[Frais de livraison liés aux achats]]))</f>
        <v/>
      </c>
      <c r="I16" s="63"/>
      <c r="J16" s="63"/>
      <c r="K16" s="6" t="str">
        <f>IF(Tableau175257[[#This Row],[Libellé de la prestation de services]]="","",SUM(Tableau175257[[#This Row],[Mains d’œuvre avec charges sociales et patronales,]:[Charges locatives]]))</f>
        <v/>
      </c>
      <c r="L16" s="64"/>
      <c r="M16" s="64"/>
      <c r="N16" s="64"/>
      <c r="O16" s="64"/>
      <c r="P16" s="6" t="str">
        <f>IF(Tableau175257[[#This Row],[Libellé de la prestation de services]]="","",SUM(Tableau135485358[[#This Row],[Marketing]:[Livraison]]))</f>
        <v/>
      </c>
      <c r="Q16" s="63"/>
      <c r="R16" s="63"/>
      <c r="S16" s="63"/>
      <c r="T16" s="6" t="str">
        <f>IF(Tableau175257[[#This Row],[Libellé de la prestation de services]]="","",SUM(Tableau1345595459[[#This Row],[services généraux]:[impôts]]))</f>
        <v/>
      </c>
      <c r="U16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6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6" s="10" t="str">
        <f>IF(Tableau175257[[#This Row],[Montant HT]]="","",Tableau13455657115661[[#This Row],[Marge nette sur prestation ]]/Tableau134556105560[[#This Row],[Coût de revient unitaire]])</f>
        <v/>
      </c>
      <c r="X16" s="10" t="str">
        <f>IF(Tableau175257[[#This Row],[Montant HT]]="","",Tableau13455657115661[[#This Row],[Marge nette sur prestation ]]/Tableau175257[[#This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IF(Tableau175257[[#This Row],[Libellé de la prestation de services]]="","",SUM(Tableau175257[[#This Row],[Matières premières]:[Frais de livraison liés aux achats]]))</f>
        <v/>
      </c>
      <c r="I17" s="63"/>
      <c r="J17" s="63"/>
      <c r="K17" s="6" t="str">
        <f>IF(Tableau175257[[#This Row],[Libellé de la prestation de services]]="","",SUM(Tableau175257[[#This Row],[Mains d’œuvre avec charges sociales et patronales,]:[Charges locatives]]))</f>
        <v/>
      </c>
      <c r="L17" s="64"/>
      <c r="M17" s="64"/>
      <c r="N17" s="64"/>
      <c r="O17" s="64"/>
      <c r="P17" s="6" t="str">
        <f>IF(Tableau175257[[#This Row],[Libellé de la prestation de services]]="","",SUM(Tableau135485358[[#This Row],[Marketing]:[Livraison]]))</f>
        <v/>
      </c>
      <c r="Q17" s="63"/>
      <c r="R17" s="63"/>
      <c r="S17" s="63"/>
      <c r="T17" s="6" t="str">
        <f>IF(Tableau175257[[#This Row],[Libellé de la prestation de services]]="","",SUM(Tableau1345595459[[#This Row],[services généraux]:[impôts]]))</f>
        <v/>
      </c>
      <c r="U17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7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7" s="10" t="str">
        <f>IF(Tableau175257[[#This Row],[Montant HT]]="","",Tableau13455657115661[[#This Row],[Marge nette sur prestation ]]/Tableau134556105560[[#This Row],[Coût de revient unitaire]])</f>
        <v/>
      </c>
      <c r="X17" s="10" t="str">
        <f>IF(Tableau175257[[#This Row],[Montant HT]]="","",Tableau13455657115661[[#This Row],[Marge nette sur prestation ]]/Tableau175257[[#This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IF(Tableau175257[[#This Row],[Libellé de la prestation de services]]="","",SUM(Tableau175257[[#This Row],[Matières premières]:[Frais de livraison liés aux achats]]))</f>
        <v/>
      </c>
      <c r="I18" s="63"/>
      <c r="J18" s="63"/>
      <c r="K18" s="6" t="str">
        <f>IF(Tableau175257[[#This Row],[Libellé de la prestation de services]]="","",SUM(Tableau175257[[#This Row],[Mains d’œuvre avec charges sociales et patronales,]:[Charges locatives]]))</f>
        <v/>
      </c>
      <c r="L18" s="64"/>
      <c r="M18" s="64"/>
      <c r="N18" s="64"/>
      <c r="O18" s="64"/>
      <c r="P18" s="6" t="str">
        <f>IF(Tableau175257[[#This Row],[Libellé de la prestation de services]]="","",SUM(Tableau135485358[[#This Row],[Marketing]:[Livraison]]))</f>
        <v/>
      </c>
      <c r="Q18" s="63"/>
      <c r="R18" s="63"/>
      <c r="S18" s="63"/>
      <c r="T18" s="6" t="str">
        <f>IF(Tableau175257[[#This Row],[Libellé de la prestation de services]]="","",SUM(Tableau1345595459[[#This Row],[services généraux]:[impôts]]))</f>
        <v/>
      </c>
      <c r="U18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8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8" s="10" t="str">
        <f>IF(Tableau175257[[#This Row],[Montant HT]]="","",Tableau13455657115661[[#This Row],[Marge nette sur prestation ]]/Tableau134556105560[[#This Row],[Coût de revient unitaire]])</f>
        <v/>
      </c>
      <c r="X18" s="10" t="str">
        <f>IF(Tableau175257[[#This Row],[Montant HT]]="","",Tableau13455657115661[[#This Row],[Marge nette sur prestation ]]/Tableau175257[[#This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IF(Tableau175257[[#This Row],[Libellé de la prestation de services]]="","",SUM(Tableau175257[[#This Row],[Matières premières]:[Frais de livraison liés aux achats]]))</f>
        <v/>
      </c>
      <c r="I19" s="63"/>
      <c r="J19" s="63"/>
      <c r="K19" s="6" t="str">
        <f>IF(Tableau175257[[#This Row],[Libellé de la prestation de services]]="","",SUM(Tableau175257[[#This Row],[Mains d’œuvre avec charges sociales et patronales,]:[Charges locatives]]))</f>
        <v/>
      </c>
      <c r="L19" s="64"/>
      <c r="M19" s="64"/>
      <c r="N19" s="64"/>
      <c r="O19" s="64"/>
      <c r="P19" s="6" t="str">
        <f>IF(Tableau175257[[#This Row],[Libellé de la prestation de services]]="","",SUM(Tableau135485358[[#This Row],[Marketing]:[Livraison]]))</f>
        <v/>
      </c>
      <c r="Q19" s="63"/>
      <c r="R19" s="63"/>
      <c r="S19" s="63"/>
      <c r="T19" s="6" t="str">
        <f>IF(Tableau175257[[#This Row],[Libellé de la prestation de services]]="","",SUM(Tableau1345595459[[#This Row],[services généraux]:[impôts]]))</f>
        <v/>
      </c>
      <c r="U19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19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19" s="10" t="str">
        <f>IF(Tableau175257[[#This Row],[Montant HT]]="","",Tableau13455657115661[[#This Row],[Marge nette sur prestation ]]/Tableau134556105560[[#This Row],[Coût de revient unitaire]])</f>
        <v/>
      </c>
      <c r="X19" s="10" t="str">
        <f>IF(Tableau175257[[#This Row],[Montant HT]]="","",Tableau13455657115661[[#This Row],[Marge nette sur prestation ]]/Tableau175257[[#This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IF(Tableau175257[[#This Row],[Libellé de la prestation de services]]="","",SUM(Tableau175257[[#This Row],[Matières premières]:[Frais de livraison liés aux achats]]))</f>
        <v/>
      </c>
      <c r="I20" s="63"/>
      <c r="J20" s="63"/>
      <c r="K20" s="6" t="str">
        <f>IF(Tableau175257[[#This Row],[Libellé de la prestation de services]]="","",SUM(Tableau175257[[#This Row],[Mains d’œuvre avec charges sociales et patronales,]:[Charges locatives]]))</f>
        <v/>
      </c>
      <c r="L20" s="64"/>
      <c r="M20" s="64"/>
      <c r="N20" s="64"/>
      <c r="O20" s="64"/>
      <c r="P20" s="6" t="str">
        <f>IF(Tableau175257[[#This Row],[Libellé de la prestation de services]]="","",SUM(Tableau135485358[[#This Row],[Marketing]:[Livraison]]))</f>
        <v/>
      </c>
      <c r="Q20" s="63"/>
      <c r="R20" s="63"/>
      <c r="S20" s="63"/>
      <c r="T20" s="6" t="str">
        <f>IF(Tableau175257[[#This Row],[Libellé de la prestation de services]]="","",SUM(Tableau1345595459[[#This Row],[services généraux]:[impôts]]))</f>
        <v/>
      </c>
      <c r="U20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0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0" s="10" t="str">
        <f>IF(Tableau175257[[#This Row],[Montant HT]]="","",Tableau13455657115661[[#This Row],[Marge nette sur prestation ]]/Tableau134556105560[[#This Row],[Coût de revient unitaire]])</f>
        <v/>
      </c>
      <c r="X20" s="10" t="str">
        <f>IF(Tableau175257[[#This Row],[Montant HT]]="","",Tableau13455657115661[[#This Row],[Marge nette sur prestation ]]/Tableau175257[[#This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IF(Tableau175257[[#This Row],[Libellé de la prestation de services]]="","",SUM(Tableau175257[[#This Row],[Matières premières]:[Frais de livraison liés aux achats]]))</f>
        <v/>
      </c>
      <c r="I21" s="63"/>
      <c r="J21" s="63"/>
      <c r="K21" s="6" t="str">
        <f>IF(Tableau175257[[#This Row],[Libellé de la prestation de services]]="","",SUM(Tableau175257[[#This Row],[Mains d’œuvre avec charges sociales et patronales,]:[Charges locatives]]))</f>
        <v/>
      </c>
      <c r="L21" s="64"/>
      <c r="M21" s="64"/>
      <c r="N21" s="64"/>
      <c r="O21" s="64"/>
      <c r="P21" s="6" t="str">
        <f>IF(Tableau175257[[#This Row],[Libellé de la prestation de services]]="","",SUM(Tableau135485358[[#This Row],[Marketing]:[Livraison]]))</f>
        <v/>
      </c>
      <c r="Q21" s="63"/>
      <c r="R21" s="63"/>
      <c r="S21" s="63"/>
      <c r="T21" s="6" t="str">
        <f>IF(Tableau175257[[#This Row],[Libellé de la prestation de services]]="","",SUM(Tableau1345595459[[#This Row],[services généraux]:[impôts]]))</f>
        <v/>
      </c>
      <c r="U21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1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1" s="10" t="str">
        <f>IF(Tableau175257[[#This Row],[Montant HT]]="","",Tableau13455657115661[[#This Row],[Marge nette sur prestation ]]/Tableau134556105560[[#This Row],[Coût de revient unitaire]])</f>
        <v/>
      </c>
      <c r="X21" s="10" t="str">
        <f>IF(Tableau175257[[#This Row],[Montant HT]]="","",Tableau13455657115661[[#This Row],[Marge nette sur prestation ]]/Tableau175257[[#This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IF(Tableau175257[[#This Row],[Libellé de la prestation de services]]="","",SUM(Tableau175257[[#This Row],[Matières premières]:[Frais de livraison liés aux achats]]))</f>
        <v/>
      </c>
      <c r="I22" s="63"/>
      <c r="J22" s="63"/>
      <c r="K22" s="6" t="str">
        <f>IF(Tableau175257[[#This Row],[Libellé de la prestation de services]]="","",SUM(Tableau175257[[#This Row],[Mains d’œuvre avec charges sociales et patronales,]:[Charges locatives]]))</f>
        <v/>
      </c>
      <c r="L22" s="64"/>
      <c r="M22" s="64"/>
      <c r="N22" s="64"/>
      <c r="O22" s="64"/>
      <c r="P22" s="6" t="str">
        <f>IF(Tableau175257[[#This Row],[Libellé de la prestation de services]]="","",SUM(Tableau135485358[[#This Row],[Marketing]:[Livraison]]))</f>
        <v/>
      </c>
      <c r="Q22" s="63"/>
      <c r="R22" s="63"/>
      <c r="S22" s="63"/>
      <c r="T22" s="6" t="str">
        <f>IF(Tableau175257[[#This Row],[Libellé de la prestation de services]]="","",SUM(Tableau1345595459[[#This Row],[services généraux]:[impôts]]))</f>
        <v/>
      </c>
      <c r="U22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2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2" s="10" t="str">
        <f>IF(Tableau175257[[#This Row],[Montant HT]]="","",Tableau13455657115661[[#This Row],[Marge nette sur prestation ]]/Tableau134556105560[[#This Row],[Coût de revient unitaire]])</f>
        <v/>
      </c>
      <c r="X22" s="10" t="str">
        <f>IF(Tableau175257[[#This Row],[Montant HT]]="","",Tableau13455657115661[[#This Row],[Marge nette sur prestation ]]/Tableau175257[[#This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IF(Tableau175257[[#This Row],[Libellé de la prestation de services]]="","",SUM(Tableau175257[[#This Row],[Matières premières]:[Frais de livraison liés aux achats]]))</f>
        <v/>
      </c>
      <c r="I23" s="63"/>
      <c r="J23" s="63"/>
      <c r="K23" s="6" t="str">
        <f>IF(Tableau175257[[#This Row],[Libellé de la prestation de services]]="","",SUM(Tableau175257[[#This Row],[Mains d’œuvre avec charges sociales et patronales,]:[Charges locatives]]))</f>
        <v/>
      </c>
      <c r="L23" s="64"/>
      <c r="M23" s="64"/>
      <c r="N23" s="64"/>
      <c r="O23" s="64"/>
      <c r="P23" s="6" t="str">
        <f>IF(Tableau175257[[#This Row],[Libellé de la prestation de services]]="","",SUM(Tableau135485358[[#This Row],[Marketing]:[Livraison]]))</f>
        <v/>
      </c>
      <c r="Q23" s="63"/>
      <c r="R23" s="63"/>
      <c r="S23" s="63"/>
      <c r="T23" s="6" t="str">
        <f>IF(Tableau175257[[#This Row],[Libellé de la prestation de services]]="","",SUM(Tableau1345595459[[#This Row],[services généraux]:[impôts]]))</f>
        <v/>
      </c>
      <c r="U23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3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3" s="10" t="str">
        <f>IF(Tableau175257[[#This Row],[Montant HT]]="","",Tableau13455657115661[[#This Row],[Marge nette sur prestation ]]/Tableau134556105560[[#This Row],[Coût de revient unitaire]])</f>
        <v/>
      </c>
      <c r="X23" s="10" t="str">
        <f>IF(Tableau175257[[#This Row],[Montant HT]]="","",Tableau13455657115661[[#This Row],[Marge nette sur prestation ]]/Tableau175257[[#This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IF(Tableau175257[[#This Row],[Libellé de la prestation de services]]="","",SUM(Tableau175257[[#This Row],[Matières premières]:[Frais de livraison liés aux achats]]))</f>
        <v/>
      </c>
      <c r="I24" s="63"/>
      <c r="J24" s="63"/>
      <c r="K24" s="6" t="str">
        <f>IF(Tableau175257[[#This Row],[Libellé de la prestation de services]]="","",SUM(Tableau175257[[#This Row],[Mains d’œuvre avec charges sociales et patronales,]:[Charges locatives]]))</f>
        <v/>
      </c>
      <c r="L24" s="64"/>
      <c r="M24" s="64"/>
      <c r="N24" s="64"/>
      <c r="O24" s="64"/>
      <c r="P24" s="6" t="str">
        <f>IF(Tableau175257[[#This Row],[Libellé de la prestation de services]]="","",SUM(Tableau135485358[[#This Row],[Marketing]:[Livraison]]))</f>
        <v/>
      </c>
      <c r="Q24" s="63"/>
      <c r="R24" s="63"/>
      <c r="S24" s="63"/>
      <c r="T24" s="6" t="str">
        <f>IF(Tableau175257[[#This Row],[Libellé de la prestation de services]]="","",SUM(Tableau1345595459[[#This Row],[services généraux]:[impôts]]))</f>
        <v/>
      </c>
      <c r="U24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4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4" s="10" t="str">
        <f>IF(Tableau175257[[#This Row],[Montant HT]]="","",Tableau13455657115661[[#This Row],[Marge nette sur prestation ]]/Tableau134556105560[[#This Row],[Coût de revient unitaire]])</f>
        <v/>
      </c>
      <c r="X24" s="10" t="str">
        <f>IF(Tableau175257[[#This Row],[Montant HT]]="","",Tableau13455657115661[[#This Row],[Marge nette sur prestation ]]/Tableau175257[[#This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IF(Tableau175257[[#This Row],[Libellé de la prestation de services]]="","",SUM(Tableau175257[[#This Row],[Matières premières]:[Frais de livraison liés aux achats]]))</f>
        <v/>
      </c>
      <c r="I25" s="63"/>
      <c r="J25" s="63"/>
      <c r="K25" s="6" t="str">
        <f>IF(Tableau175257[[#This Row],[Libellé de la prestation de services]]="","",SUM(Tableau175257[[#This Row],[Mains d’œuvre avec charges sociales et patronales,]:[Charges locatives]]))</f>
        <v/>
      </c>
      <c r="L25" s="64"/>
      <c r="M25" s="64"/>
      <c r="N25" s="64"/>
      <c r="O25" s="64"/>
      <c r="P25" s="6" t="str">
        <f>IF(Tableau175257[[#This Row],[Libellé de la prestation de services]]="","",SUM(Tableau135485358[[#This Row],[Marketing]:[Livraison]]))</f>
        <v/>
      </c>
      <c r="Q25" s="63"/>
      <c r="R25" s="63"/>
      <c r="S25" s="63"/>
      <c r="T25" s="6" t="str">
        <f>IF(Tableau175257[[#This Row],[Libellé de la prestation de services]]="","",SUM(Tableau1345595459[[#This Row],[services généraux]:[impôts]]))</f>
        <v/>
      </c>
      <c r="U25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5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5" s="10" t="str">
        <f>IF(Tableau175257[[#This Row],[Montant HT]]="","",Tableau13455657115661[[#This Row],[Marge nette sur prestation ]]/Tableau134556105560[[#This Row],[Coût de revient unitaire]])</f>
        <v/>
      </c>
      <c r="X25" s="10" t="str">
        <f>IF(Tableau175257[[#This Row],[Montant HT]]="","",Tableau13455657115661[[#This Row],[Marge nette sur prestation ]]/Tableau175257[[#This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IF(Tableau175257[[#This Row],[Libellé de la prestation de services]]="","",SUM(Tableau175257[[#This Row],[Matières premières]:[Frais de livraison liés aux achats]]))</f>
        <v/>
      </c>
      <c r="I26" s="63"/>
      <c r="J26" s="63"/>
      <c r="K26" s="6" t="str">
        <f>IF(Tableau175257[[#This Row],[Libellé de la prestation de services]]="","",SUM(Tableau175257[[#This Row],[Mains d’œuvre avec charges sociales et patronales,]:[Charges locatives]]))</f>
        <v/>
      </c>
      <c r="L26" s="64"/>
      <c r="M26" s="64"/>
      <c r="N26" s="64"/>
      <c r="O26" s="64"/>
      <c r="P26" s="6" t="str">
        <f>IF(Tableau175257[[#This Row],[Libellé de la prestation de services]]="","",SUM(Tableau135485358[[#This Row],[Marketing]:[Livraison]]))</f>
        <v/>
      </c>
      <c r="Q26" s="63"/>
      <c r="R26" s="63"/>
      <c r="S26" s="63"/>
      <c r="T26" s="6" t="str">
        <f>IF(Tableau175257[[#This Row],[Libellé de la prestation de services]]="","",SUM(Tableau1345595459[[#This Row],[services généraux]:[impôts]]))</f>
        <v/>
      </c>
      <c r="U26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6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6" s="10" t="str">
        <f>IF(Tableau175257[[#This Row],[Montant HT]]="","",Tableau13455657115661[[#This Row],[Marge nette sur prestation ]]/Tableau134556105560[[#This Row],[Coût de revient unitaire]])</f>
        <v/>
      </c>
      <c r="X26" s="10" t="str">
        <f>IF(Tableau175257[[#This Row],[Montant HT]]="","",Tableau13455657115661[[#This Row],[Marge nette sur prestation ]]/Tableau175257[[#This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IF(Tableau175257[[#This Row],[Libellé de la prestation de services]]="","",SUM(Tableau175257[[#This Row],[Matières premières]:[Frais de livraison liés aux achats]]))</f>
        <v/>
      </c>
      <c r="I27" s="63"/>
      <c r="J27" s="63"/>
      <c r="K27" s="6" t="str">
        <f>IF(Tableau175257[[#This Row],[Libellé de la prestation de services]]="","",SUM(Tableau175257[[#This Row],[Mains d’œuvre avec charges sociales et patronales,]:[Charges locatives]]))</f>
        <v/>
      </c>
      <c r="L27" s="64"/>
      <c r="M27" s="64"/>
      <c r="N27" s="64"/>
      <c r="O27" s="64"/>
      <c r="P27" s="6" t="str">
        <f>IF(Tableau175257[[#This Row],[Libellé de la prestation de services]]="","",SUM(Tableau135485358[[#This Row],[Marketing]:[Livraison]]))</f>
        <v/>
      </c>
      <c r="Q27" s="63"/>
      <c r="R27" s="63"/>
      <c r="S27" s="63"/>
      <c r="T27" s="6" t="str">
        <f>IF(Tableau175257[[#This Row],[Libellé de la prestation de services]]="","",SUM(Tableau1345595459[[#This Row],[services généraux]:[impôts]]))</f>
        <v/>
      </c>
      <c r="U27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7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7" s="10" t="str">
        <f>IF(Tableau175257[[#This Row],[Montant HT]]="","",Tableau13455657115661[[#This Row],[Marge nette sur prestation ]]/Tableau134556105560[[#This Row],[Coût de revient unitaire]])</f>
        <v/>
      </c>
      <c r="X27" s="10" t="str">
        <f>IF(Tableau175257[[#This Row],[Montant HT]]="","",Tableau13455657115661[[#This Row],[Marge nette sur prestation ]]/Tableau175257[[#This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IF(Tableau175257[[#This Row],[Libellé de la prestation de services]]="","",SUM(Tableau175257[[#This Row],[Matières premières]:[Frais de livraison liés aux achats]]))</f>
        <v/>
      </c>
      <c r="I28" s="63"/>
      <c r="J28" s="63"/>
      <c r="K28" s="6" t="str">
        <f>IF(Tableau175257[[#This Row],[Libellé de la prestation de services]]="","",SUM(Tableau175257[[#This Row],[Mains d’œuvre avec charges sociales et patronales,]:[Charges locatives]]))</f>
        <v/>
      </c>
      <c r="L28" s="64"/>
      <c r="M28" s="64"/>
      <c r="N28" s="64"/>
      <c r="O28" s="64"/>
      <c r="P28" s="6" t="str">
        <f>IF(Tableau175257[[#This Row],[Libellé de la prestation de services]]="","",SUM(Tableau135485358[[#This Row],[Marketing]:[Livraison]]))</f>
        <v/>
      </c>
      <c r="Q28" s="63"/>
      <c r="R28" s="63"/>
      <c r="S28" s="63"/>
      <c r="T28" s="6" t="str">
        <f>IF(Tableau175257[[#This Row],[Libellé de la prestation de services]]="","",SUM(Tableau1345595459[[#This Row],[services généraux]:[impôts]]))</f>
        <v/>
      </c>
      <c r="U28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8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8" s="10" t="str">
        <f>IF(Tableau175257[[#This Row],[Montant HT]]="","",Tableau13455657115661[[#This Row],[Marge nette sur prestation ]]/Tableau134556105560[[#This Row],[Coût de revient unitaire]])</f>
        <v/>
      </c>
      <c r="X28" s="10" t="str">
        <f>IF(Tableau175257[[#This Row],[Montant HT]]="","",Tableau13455657115661[[#This Row],[Marge nette sur prestation ]]/Tableau175257[[#This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IF(Tableau175257[[#This Row],[Libellé de la prestation de services]]="","",SUM(Tableau175257[[#This Row],[Matières premières]:[Frais de livraison liés aux achats]]))</f>
        <v/>
      </c>
      <c r="I29" s="63"/>
      <c r="J29" s="63"/>
      <c r="K29" s="6" t="str">
        <f>IF(Tableau175257[[#This Row],[Libellé de la prestation de services]]="","",SUM(Tableau175257[[#This Row],[Mains d’œuvre avec charges sociales et patronales,]:[Charges locatives]]))</f>
        <v/>
      </c>
      <c r="L29" s="64"/>
      <c r="M29" s="64"/>
      <c r="N29" s="64"/>
      <c r="O29" s="64"/>
      <c r="P29" s="6" t="str">
        <f>IF(Tableau175257[[#This Row],[Libellé de la prestation de services]]="","",SUM(Tableau135485358[[#This Row],[Marketing]:[Livraison]]))</f>
        <v/>
      </c>
      <c r="Q29" s="63"/>
      <c r="R29" s="63"/>
      <c r="S29" s="63"/>
      <c r="T29" s="6" t="str">
        <f>IF(Tableau175257[[#This Row],[Libellé de la prestation de services]]="","",SUM(Tableau1345595459[[#This Row],[services généraux]:[impôts]]))</f>
        <v/>
      </c>
      <c r="U29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29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29" s="10" t="str">
        <f>IF(Tableau175257[[#This Row],[Montant HT]]="","",Tableau13455657115661[[#This Row],[Marge nette sur prestation ]]/Tableau134556105560[[#This Row],[Coût de revient unitaire]])</f>
        <v/>
      </c>
      <c r="X29" s="10" t="str">
        <f>IF(Tableau175257[[#This Row],[Montant HT]]="","",Tableau13455657115661[[#This Row],[Marge nette sur prestation ]]/Tableau175257[[#This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IF(Tableau175257[[#This Row],[Libellé de la prestation de services]]="","",SUM(Tableau175257[[#This Row],[Matières premières]:[Frais de livraison liés aux achats]]))</f>
        <v/>
      </c>
      <c r="I30" s="63"/>
      <c r="J30" s="63"/>
      <c r="K30" s="6" t="str">
        <f>IF(Tableau175257[[#This Row],[Libellé de la prestation de services]]="","",SUM(Tableau175257[[#This Row],[Mains d’œuvre avec charges sociales et patronales,]:[Charges locatives]]))</f>
        <v/>
      </c>
      <c r="L30" s="64"/>
      <c r="M30" s="64"/>
      <c r="N30" s="64"/>
      <c r="O30" s="64"/>
      <c r="P30" s="6" t="str">
        <f>IF(Tableau175257[[#This Row],[Libellé de la prestation de services]]="","",SUM(Tableau135485358[[#This Row],[Marketing]:[Livraison]]))</f>
        <v/>
      </c>
      <c r="Q30" s="63"/>
      <c r="R30" s="63"/>
      <c r="S30" s="63"/>
      <c r="T30" s="6" t="str">
        <f>IF(Tableau175257[[#This Row],[Libellé de la prestation de services]]="","",SUM(Tableau1345595459[[#This Row],[services généraux]:[impôts]]))</f>
        <v/>
      </c>
      <c r="U30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0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0" s="10" t="str">
        <f>IF(Tableau175257[[#This Row],[Montant HT]]="","",Tableau13455657115661[[#This Row],[Marge nette sur prestation ]]/Tableau134556105560[[#This Row],[Coût de revient unitaire]])</f>
        <v/>
      </c>
      <c r="X30" s="10" t="str">
        <f>IF(Tableau175257[[#This Row],[Montant HT]]="","",Tableau13455657115661[[#This Row],[Marge nette sur prestation ]]/Tableau175257[[#This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IF(Tableau175257[[#This Row],[Libellé de la prestation de services]]="","",SUM(Tableau175257[[#This Row],[Matières premières]:[Frais de livraison liés aux achats]]))</f>
        <v/>
      </c>
      <c r="I31" s="63"/>
      <c r="J31" s="63"/>
      <c r="K31" s="6" t="str">
        <f>IF(Tableau175257[[#This Row],[Libellé de la prestation de services]]="","",SUM(Tableau175257[[#This Row],[Mains d’œuvre avec charges sociales et patronales,]:[Charges locatives]]))</f>
        <v/>
      </c>
      <c r="L31" s="64"/>
      <c r="M31" s="64"/>
      <c r="N31" s="64"/>
      <c r="O31" s="64"/>
      <c r="P31" s="6" t="str">
        <f>IF(Tableau175257[[#This Row],[Libellé de la prestation de services]]="","",SUM(Tableau135485358[[#This Row],[Marketing]:[Livraison]]))</f>
        <v/>
      </c>
      <c r="Q31" s="63"/>
      <c r="R31" s="63"/>
      <c r="S31" s="63"/>
      <c r="T31" s="6" t="str">
        <f>IF(Tableau175257[[#This Row],[Libellé de la prestation de services]]="","",SUM(Tableau1345595459[[#This Row],[services généraux]:[impôts]]))</f>
        <v/>
      </c>
      <c r="U31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1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1" s="10" t="str">
        <f>IF(Tableau175257[[#This Row],[Montant HT]]="","",Tableau13455657115661[[#This Row],[Marge nette sur prestation ]]/Tableau134556105560[[#This Row],[Coût de revient unitaire]])</f>
        <v/>
      </c>
      <c r="X31" s="10" t="str">
        <f>IF(Tableau175257[[#This Row],[Montant HT]]="","",Tableau13455657115661[[#This Row],[Marge nette sur prestation ]]/Tableau175257[[#This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IF(Tableau175257[[#This Row],[Libellé de la prestation de services]]="","",SUM(Tableau175257[[#This Row],[Matières premières]:[Frais de livraison liés aux achats]]))</f>
        <v/>
      </c>
      <c r="I32" s="63"/>
      <c r="J32" s="63"/>
      <c r="K32" s="6" t="str">
        <f>IF(Tableau175257[[#This Row],[Libellé de la prestation de services]]="","",SUM(Tableau175257[[#This Row],[Mains d’œuvre avec charges sociales et patronales,]:[Charges locatives]]))</f>
        <v/>
      </c>
      <c r="L32" s="64"/>
      <c r="M32" s="64"/>
      <c r="N32" s="64"/>
      <c r="O32" s="64"/>
      <c r="P32" s="6" t="str">
        <f>IF(Tableau175257[[#This Row],[Libellé de la prestation de services]]="","",SUM(Tableau135485358[[#This Row],[Marketing]:[Livraison]]))</f>
        <v/>
      </c>
      <c r="Q32" s="63"/>
      <c r="R32" s="63"/>
      <c r="S32" s="63"/>
      <c r="T32" s="6" t="str">
        <f>IF(Tableau175257[[#This Row],[Libellé de la prestation de services]]="","",SUM(Tableau1345595459[[#This Row],[services généraux]:[impôts]]))</f>
        <v/>
      </c>
      <c r="U32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2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2" s="10" t="str">
        <f>IF(Tableau175257[[#This Row],[Montant HT]]="","",Tableau13455657115661[[#This Row],[Marge nette sur prestation ]]/Tableau134556105560[[#This Row],[Coût de revient unitaire]])</f>
        <v/>
      </c>
      <c r="X32" s="10" t="str">
        <f>IF(Tableau175257[[#This Row],[Montant HT]]="","",Tableau13455657115661[[#This Row],[Marge nette sur prestation ]]/Tableau175257[[#This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IF(Tableau175257[[#This Row],[Libellé de la prestation de services]]="","",SUM(Tableau175257[[#This Row],[Matières premières]:[Frais de livraison liés aux achats]]))</f>
        <v/>
      </c>
      <c r="I33" s="63"/>
      <c r="J33" s="63"/>
      <c r="K33" s="6" t="str">
        <f>IF(Tableau175257[[#This Row],[Libellé de la prestation de services]]="","",SUM(Tableau175257[[#This Row],[Mains d’œuvre avec charges sociales et patronales,]:[Charges locatives]]))</f>
        <v/>
      </c>
      <c r="L33" s="64"/>
      <c r="M33" s="64"/>
      <c r="N33" s="64"/>
      <c r="O33" s="64"/>
      <c r="P33" s="6" t="str">
        <f>IF(Tableau175257[[#This Row],[Libellé de la prestation de services]]="","",SUM(Tableau135485358[[#This Row],[Marketing]:[Livraison]]))</f>
        <v/>
      </c>
      <c r="Q33" s="63"/>
      <c r="R33" s="63"/>
      <c r="S33" s="63"/>
      <c r="T33" s="6" t="str">
        <f>IF(Tableau175257[[#This Row],[Libellé de la prestation de services]]="","",SUM(Tableau1345595459[[#This Row],[services généraux]:[impôts]]))</f>
        <v/>
      </c>
      <c r="U33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3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3" s="10" t="str">
        <f>IF(Tableau175257[[#This Row],[Montant HT]]="","",Tableau13455657115661[[#This Row],[Marge nette sur prestation ]]/Tableau134556105560[[#This Row],[Coût de revient unitaire]])</f>
        <v/>
      </c>
      <c r="X33" s="10" t="str">
        <f>IF(Tableau175257[[#This Row],[Montant HT]]="","",Tableau13455657115661[[#This Row],[Marge nette sur prestation ]]/Tableau175257[[#This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IF(Tableau175257[[#This Row],[Libellé de la prestation de services]]="","",SUM(Tableau175257[[#This Row],[Matières premières]:[Frais de livraison liés aux achats]]))</f>
        <v/>
      </c>
      <c r="I34" s="63"/>
      <c r="J34" s="63"/>
      <c r="K34" s="6" t="str">
        <f>IF(Tableau175257[[#This Row],[Libellé de la prestation de services]]="","",SUM(Tableau175257[[#This Row],[Mains d’œuvre avec charges sociales et patronales,]:[Charges locatives]]))</f>
        <v/>
      </c>
      <c r="L34" s="64"/>
      <c r="M34" s="64"/>
      <c r="N34" s="64"/>
      <c r="O34" s="64"/>
      <c r="P34" s="6" t="str">
        <f>IF(Tableau175257[[#This Row],[Libellé de la prestation de services]]="","",SUM(Tableau135485358[[#This Row],[Marketing]:[Livraison]]))</f>
        <v/>
      </c>
      <c r="Q34" s="63"/>
      <c r="R34" s="63"/>
      <c r="S34" s="63"/>
      <c r="T34" s="6" t="str">
        <f>IF(Tableau175257[[#This Row],[Libellé de la prestation de services]]="","",SUM(Tableau1345595459[[#This Row],[services généraux]:[impôts]]))</f>
        <v/>
      </c>
      <c r="U34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4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4" s="10" t="str">
        <f>IF(Tableau175257[[#This Row],[Montant HT]]="","",Tableau13455657115661[[#This Row],[Marge nette sur prestation ]]/Tableau134556105560[[#This Row],[Coût de revient unitaire]])</f>
        <v/>
      </c>
      <c r="X34" s="10" t="str">
        <f>IF(Tableau175257[[#This Row],[Montant HT]]="","",Tableau13455657115661[[#This Row],[Marge nette sur prestation ]]/Tableau175257[[#This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IF(Tableau175257[[#This Row],[Libellé de la prestation de services]]="","",SUM(Tableau175257[[#This Row],[Matières premières]:[Frais de livraison liés aux achats]]))</f>
        <v/>
      </c>
      <c r="I35" s="63"/>
      <c r="J35" s="63"/>
      <c r="K35" s="6" t="str">
        <f>IF(Tableau175257[[#This Row],[Libellé de la prestation de services]]="","",SUM(Tableau175257[[#This Row],[Mains d’œuvre avec charges sociales et patronales,]:[Charges locatives]]))</f>
        <v/>
      </c>
      <c r="L35" s="64"/>
      <c r="M35" s="64"/>
      <c r="N35" s="64"/>
      <c r="O35" s="64"/>
      <c r="P35" s="6" t="str">
        <f>IF(Tableau175257[[#This Row],[Libellé de la prestation de services]]="","",SUM(Tableau135485358[[#This Row],[Marketing]:[Livraison]]))</f>
        <v/>
      </c>
      <c r="Q35" s="63"/>
      <c r="R35" s="63"/>
      <c r="S35" s="63"/>
      <c r="T35" s="6" t="str">
        <f>IF(Tableau175257[[#This Row],[Libellé de la prestation de services]]="","",SUM(Tableau1345595459[[#This Row],[services généraux]:[impôts]]))</f>
        <v/>
      </c>
      <c r="U35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5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5" s="10" t="str">
        <f>IF(Tableau175257[[#This Row],[Montant HT]]="","",Tableau13455657115661[[#This Row],[Marge nette sur prestation ]]/Tableau134556105560[[#This Row],[Coût de revient unitaire]])</f>
        <v/>
      </c>
      <c r="X35" s="10" t="str">
        <f>IF(Tableau175257[[#This Row],[Montant HT]]="","",Tableau13455657115661[[#This Row],[Marge nette sur prestation ]]/Tableau175257[[#This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IF(Tableau175257[[#This Row],[Libellé de la prestation de services]]="","",SUM(Tableau175257[[#This Row],[Matières premières]:[Frais de livraison liés aux achats]]))</f>
        <v/>
      </c>
      <c r="I36" s="63"/>
      <c r="J36" s="63"/>
      <c r="K36" s="6" t="str">
        <f>IF(Tableau175257[[#This Row],[Libellé de la prestation de services]]="","",SUM(Tableau175257[[#This Row],[Mains d’œuvre avec charges sociales et patronales,]:[Charges locatives]]))</f>
        <v/>
      </c>
      <c r="L36" s="64"/>
      <c r="M36" s="64"/>
      <c r="N36" s="64"/>
      <c r="O36" s="64"/>
      <c r="P36" s="6" t="str">
        <f>IF(Tableau175257[[#This Row],[Libellé de la prestation de services]]="","",SUM(Tableau135485358[[#This Row],[Marketing]:[Livraison]]))</f>
        <v/>
      </c>
      <c r="Q36" s="63"/>
      <c r="R36" s="63"/>
      <c r="S36" s="63"/>
      <c r="T36" s="6" t="str">
        <f>IF(Tableau175257[[#This Row],[Libellé de la prestation de services]]="","",SUM(Tableau1345595459[[#This Row],[services généraux]:[impôts]]))</f>
        <v/>
      </c>
      <c r="U36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6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6" s="10" t="str">
        <f>IF(Tableau175257[[#This Row],[Montant HT]]="","",Tableau13455657115661[[#This Row],[Marge nette sur prestation ]]/Tableau134556105560[[#This Row],[Coût de revient unitaire]])</f>
        <v/>
      </c>
      <c r="X36" s="10" t="str">
        <f>IF(Tableau175257[[#This Row],[Montant HT]]="","",Tableau13455657115661[[#This Row],[Marge nette sur prestation ]]/Tableau175257[[#This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IF(Tableau175257[[#This Row],[Libellé de la prestation de services]]="","",SUM(Tableau175257[[#This Row],[Matières premières]:[Frais de livraison liés aux achats]]))</f>
        <v/>
      </c>
      <c r="I37" s="63"/>
      <c r="J37" s="63"/>
      <c r="K37" s="6" t="str">
        <f>IF(Tableau175257[[#This Row],[Libellé de la prestation de services]]="","",SUM(Tableau175257[[#This Row],[Mains d’œuvre avec charges sociales et patronales,]:[Charges locatives]]))</f>
        <v/>
      </c>
      <c r="L37" s="64"/>
      <c r="M37" s="64"/>
      <c r="N37" s="64"/>
      <c r="O37" s="64"/>
      <c r="P37" s="6" t="str">
        <f>IF(Tableau175257[[#This Row],[Libellé de la prestation de services]]="","",SUM(Tableau135485358[[#This Row],[Marketing]:[Livraison]]))</f>
        <v/>
      </c>
      <c r="Q37" s="63"/>
      <c r="R37" s="63"/>
      <c r="S37" s="63"/>
      <c r="T37" s="6" t="str">
        <f>IF(Tableau175257[[#This Row],[Libellé de la prestation de services]]="","",SUM(Tableau1345595459[[#This Row],[services généraux]:[impôts]]))</f>
        <v/>
      </c>
      <c r="U37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7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7" s="10" t="str">
        <f>IF(Tableau175257[[#This Row],[Montant HT]]="","",Tableau13455657115661[[#This Row],[Marge nette sur prestation ]]/Tableau134556105560[[#This Row],[Coût de revient unitaire]])</f>
        <v/>
      </c>
      <c r="X37" s="10" t="str">
        <f>IF(Tableau175257[[#This Row],[Montant HT]]="","",Tableau13455657115661[[#This Row],[Marge nette sur prestation ]]/Tableau175257[[#This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IF(Tableau175257[[#This Row],[Libellé de la prestation de services]]="","",SUM(Tableau175257[[#This Row],[Matières premières]:[Frais de livraison liés aux achats]]))</f>
        <v/>
      </c>
      <c r="I38" s="63"/>
      <c r="J38" s="63"/>
      <c r="K38" s="6" t="str">
        <f>IF(Tableau175257[[#This Row],[Libellé de la prestation de services]]="","",SUM(Tableau175257[[#This Row],[Mains d’œuvre avec charges sociales et patronales,]:[Charges locatives]]))</f>
        <v/>
      </c>
      <c r="L38" s="64"/>
      <c r="M38" s="64"/>
      <c r="N38" s="64"/>
      <c r="O38" s="64"/>
      <c r="P38" s="6" t="str">
        <f>IF(Tableau175257[[#This Row],[Libellé de la prestation de services]]="","",SUM(Tableau135485358[[#This Row],[Marketing]:[Livraison]]))</f>
        <v/>
      </c>
      <c r="Q38" s="63"/>
      <c r="R38" s="63"/>
      <c r="S38" s="63"/>
      <c r="T38" s="6" t="str">
        <f>IF(Tableau175257[[#This Row],[Libellé de la prestation de services]]="","",SUM(Tableau1345595459[[#This Row],[services généraux]:[impôts]]))</f>
        <v/>
      </c>
      <c r="U38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8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8" s="10" t="str">
        <f>IF(Tableau175257[[#This Row],[Montant HT]]="","",Tableau13455657115661[[#This Row],[Marge nette sur prestation ]]/Tableau134556105560[[#This Row],[Coût de revient unitaire]])</f>
        <v/>
      </c>
      <c r="X38" s="10" t="str">
        <f>IF(Tableau175257[[#This Row],[Montant HT]]="","",Tableau13455657115661[[#This Row],[Marge nette sur prestation ]]/Tableau175257[[#This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IF(Tableau175257[[#This Row],[Libellé de la prestation de services]]="","",SUM(Tableau175257[[#This Row],[Matières premières]:[Frais de livraison liés aux achats]]))</f>
        <v/>
      </c>
      <c r="I39" s="63"/>
      <c r="J39" s="63"/>
      <c r="K39" s="6" t="str">
        <f>IF(Tableau175257[[#This Row],[Libellé de la prestation de services]]="","",SUM(Tableau175257[[#This Row],[Mains d’œuvre avec charges sociales et patronales,]:[Charges locatives]]))</f>
        <v/>
      </c>
      <c r="L39" s="64"/>
      <c r="M39" s="64"/>
      <c r="N39" s="64"/>
      <c r="O39" s="64"/>
      <c r="P39" s="6" t="str">
        <f>IF(Tableau175257[[#This Row],[Libellé de la prestation de services]]="","",SUM(Tableau135485358[[#This Row],[Marketing]:[Livraison]]))</f>
        <v/>
      </c>
      <c r="Q39" s="63"/>
      <c r="R39" s="63"/>
      <c r="S39" s="63"/>
      <c r="T39" s="6" t="str">
        <f>IF(Tableau175257[[#This Row],[Libellé de la prestation de services]]="","",SUM(Tableau1345595459[[#This Row],[services généraux]:[impôts]]))</f>
        <v/>
      </c>
      <c r="U39" s="9" t="str">
        <f>IF(Tableau175257[[#This Row],[Libellé de la prestation de services]]="","",Tableau175257[[#This Row],[Couts d''achat et d''approvisionnement]]+Tableau135485358[[#This Row],[Coûts de production]]+Tableau1345595459[[#This Row],[Coûts de commercialisation et distribution]]+Tableau134556105560[[#This Row],[Coûts administratifs]])</f>
        <v/>
      </c>
      <c r="V39" s="9" t="str">
        <f>IF(Tableau175257[[#This Row],[Libellé de la prestation de services]]="","",Tableau175257[[#This Row],[Montant HT]]-Tableau135485358[[#This Row],[Coûts de production]]-Tableau1345595459[[#This Row],[Coûts de commercialisation et distribution]]-Tableau134556105560[[#This Row],[Coûts administratifs]])</f>
        <v/>
      </c>
      <c r="W39" s="10" t="str">
        <f>IF(Tableau175257[[#This Row],[Montant HT]]="","",Tableau13455657115661[[#This Row],[Marge nette sur prestation ]]/Tableau134556105560[[#This Row],[Coût de revient unitaire]])</f>
        <v/>
      </c>
      <c r="X39" s="10" t="str">
        <f>IF(Tableau175257[[#This Row],[Montant HT]]="","",Tableau13455657115661[[#This Row],[Marge nette sur prestation ]]/Tableau175257[[#This Row],[Montant HT]])</f>
        <v/>
      </c>
    </row>
    <row r="40" spans="1:24" ht="15.75" x14ac:dyDescent="0.25">
      <c r="A40" s="8"/>
      <c r="B40" s="8">
        <f>SUBTOTAL(103,Tableau175257[Libellé de la prestation de services])</f>
        <v>3</v>
      </c>
      <c r="C40" s="7">
        <f>SUBTOTAL(109,Tableau175257[Montant HT])</f>
        <v>0</v>
      </c>
      <c r="D40" s="7">
        <f>SUBTOTAL(109,Tableau175257[Matières premières])</f>
        <v>0</v>
      </c>
      <c r="E40" s="7">
        <f>SUBTOTAL(109,Tableau175257[Marchandises])</f>
        <v>0</v>
      </c>
      <c r="F40" s="7">
        <f>SUBTOTAL(109,Tableau175257[Consommables])</f>
        <v>0</v>
      </c>
      <c r="G40" s="7">
        <f>SUBTOTAL(109,Tableau175257[Frais de livraison liés aux achats])</f>
        <v>0</v>
      </c>
      <c r="H40" s="7">
        <f>SUBTOTAL(109,Tableau175257[Couts d''achat et d''approvisionnement])</f>
        <v>0</v>
      </c>
      <c r="I40" s="7">
        <f>SUBTOTAL(109,Tableau175257[Mains d’œuvre avec charges sociales et patronales,])</f>
        <v>0</v>
      </c>
      <c r="J40" s="7">
        <f>SUBTOTAL(109,Tableau175257[Charges locatives])</f>
        <v>0</v>
      </c>
      <c r="K40" s="7">
        <f>SUBTOTAL(109,Tableau135485358[Coûts de production])</f>
        <v>0</v>
      </c>
      <c r="L40" s="7">
        <f>SUBTOTAL(109,Tableau135485358[Marketing])</f>
        <v>0</v>
      </c>
      <c r="M40" s="7">
        <f>SUBTOTAL(109,Tableau135485358[Prospection])</f>
        <v>0</v>
      </c>
      <c r="N40" s="7">
        <f>SUBTOTAL(109,Tableau135485358[Commerciaux])</f>
        <v>0</v>
      </c>
      <c r="O40" s="7">
        <f>SUBTOTAL(109,Tableau135485358[Livraison])</f>
        <v>0</v>
      </c>
      <c r="P40" s="7">
        <f>SUBTOTAL(109,Tableau1345595459[Coûts de commercialisation et distribution])</f>
        <v>0</v>
      </c>
      <c r="Q40" s="7">
        <f>SUBTOTAL(109,Tableau1345595459[services généraux])</f>
        <v>0</v>
      </c>
      <c r="R40" s="7">
        <f>SUBTOTAL(109,Tableau1345595459[frais divers])</f>
        <v>0</v>
      </c>
      <c r="S40" s="7">
        <f>SUBTOTAL(109,Tableau1345595459[impôts])</f>
        <v>0</v>
      </c>
      <c r="T40" s="7">
        <f>SUBTOTAL(109,Tableau134556105560[Coûts administratifs])</f>
        <v>0</v>
      </c>
      <c r="U40" s="7">
        <f>SUBTOTAL(109,Tableau134556105560[Coût de revient unitaire])</f>
        <v>0</v>
      </c>
      <c r="V40" s="7">
        <f>SUBTOTAL(109,Tableau13455657115661[[Marge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90" zoomScaleNormal="90" workbookViewId="0">
      <selection activeCell="N15" sqref="N15"/>
    </sheetView>
  </sheetViews>
  <sheetFormatPr baseColWidth="10" defaultRowHeight="15" x14ac:dyDescent="0.25"/>
  <cols>
    <col min="1" max="3" width="11.42578125" style="1"/>
    <col min="4" max="4" width="11.5703125" style="1" customWidth="1"/>
    <col min="5" max="16384" width="11.42578125" style="1"/>
  </cols>
  <sheetData>
    <row r="1" spans="1:11" ht="20.25" x14ac:dyDescent="0.25">
      <c r="A1" s="32" t="s">
        <v>58</v>
      </c>
      <c r="B1" s="32"/>
      <c r="C1" s="33"/>
      <c r="D1" s="33"/>
      <c r="E1" s="33"/>
      <c r="F1" s="34"/>
      <c r="G1" s="34"/>
      <c r="H1" s="34"/>
      <c r="I1" s="34"/>
      <c r="J1" s="34"/>
      <c r="K1" s="34"/>
    </row>
    <row r="2" spans="1:11" x14ac:dyDescent="0.25">
      <c r="A2" s="35"/>
      <c r="B2" s="36" t="s">
        <v>59</v>
      </c>
      <c r="C2" s="35"/>
      <c r="D2" s="35"/>
      <c r="E2" s="35"/>
      <c r="F2" s="37"/>
      <c r="G2" s="37"/>
      <c r="H2" s="37"/>
      <c r="I2" s="37"/>
      <c r="J2" s="37"/>
      <c r="K2" s="37"/>
    </row>
    <row r="3" spans="1:11" x14ac:dyDescent="0.25">
      <c r="A3" s="35"/>
      <c r="B3" s="38"/>
      <c r="C3" s="35"/>
      <c r="D3" s="35"/>
      <c r="E3" s="35"/>
      <c r="F3" s="37"/>
      <c r="G3" s="37"/>
      <c r="H3" s="37"/>
      <c r="I3" s="37"/>
      <c r="J3" s="37"/>
      <c r="K3" s="37"/>
    </row>
    <row r="4" spans="1:11" x14ac:dyDescent="0.25">
      <c r="A4" s="35"/>
      <c r="B4" s="38"/>
      <c r="C4" s="35"/>
      <c r="D4" s="35"/>
      <c r="E4" s="35"/>
      <c r="F4" s="37"/>
      <c r="G4" s="37"/>
      <c r="H4" s="37"/>
      <c r="I4" s="37"/>
      <c r="J4" s="37"/>
      <c r="K4" s="37"/>
    </row>
    <row r="5" spans="1:11" x14ac:dyDescent="0.25">
      <c r="A5" s="35"/>
      <c r="B5" s="38"/>
      <c r="C5" s="35"/>
      <c r="D5" s="35"/>
      <c r="E5" s="35"/>
      <c r="F5" s="37"/>
      <c r="G5" s="37"/>
      <c r="H5" s="37"/>
      <c r="I5" s="37"/>
      <c r="J5" s="37"/>
      <c r="K5" s="37"/>
    </row>
    <row r="6" spans="1:11" x14ac:dyDescent="0.25">
      <c r="A6" s="35"/>
      <c r="B6" s="38"/>
      <c r="C6" s="35"/>
      <c r="D6" s="35"/>
      <c r="E6" s="35"/>
      <c r="F6" s="37"/>
      <c r="G6" s="37"/>
      <c r="H6" s="37"/>
      <c r="I6" s="37"/>
      <c r="J6" s="37"/>
      <c r="K6" s="37"/>
    </row>
    <row r="7" spans="1:11" x14ac:dyDescent="0.25">
      <c r="A7" s="35"/>
      <c r="B7" s="38"/>
      <c r="C7" s="35"/>
      <c r="D7" s="35"/>
      <c r="E7" s="35"/>
      <c r="F7" s="37"/>
      <c r="G7" s="37"/>
      <c r="H7" s="37"/>
      <c r="I7" s="37"/>
      <c r="J7" s="37"/>
      <c r="K7" s="37"/>
    </row>
    <row r="8" spans="1:11" ht="15.75" x14ac:dyDescent="0.25">
      <c r="A8" s="39"/>
      <c r="B8" s="35"/>
      <c r="C8" s="35"/>
      <c r="D8" s="35"/>
      <c r="E8" s="35"/>
      <c r="F8" s="37"/>
      <c r="G8" s="37"/>
      <c r="H8" s="37"/>
      <c r="I8" s="37"/>
      <c r="J8" s="37"/>
      <c r="K8" s="37"/>
    </row>
    <row r="9" spans="1:11" x14ac:dyDescent="0.25">
      <c r="A9" s="36"/>
      <c r="B9" s="35"/>
      <c r="C9" s="35"/>
      <c r="D9" s="35"/>
      <c r="E9" s="35"/>
      <c r="F9" s="37"/>
      <c r="G9" s="37"/>
      <c r="H9" s="37"/>
      <c r="I9" s="37"/>
      <c r="J9" s="37"/>
      <c r="K9" s="37"/>
    </row>
    <row r="10" spans="1:11" x14ac:dyDescent="0.25">
      <c r="A10" s="36" t="s">
        <v>60</v>
      </c>
      <c r="B10" s="35"/>
      <c r="C10" s="35"/>
      <c r="D10" s="35"/>
      <c r="E10" s="35"/>
      <c r="F10" s="37"/>
      <c r="G10" s="37"/>
      <c r="H10" s="37"/>
      <c r="I10" s="37"/>
      <c r="J10" s="37"/>
      <c r="K10" s="37"/>
    </row>
    <row r="11" spans="1:11" x14ac:dyDescent="0.25">
      <c r="A11" s="36"/>
      <c r="B11" s="35"/>
      <c r="C11" s="35"/>
      <c r="D11" s="35"/>
      <c r="E11" s="35"/>
      <c r="F11" s="37"/>
      <c r="G11" s="37"/>
      <c r="H11" s="37"/>
      <c r="I11" s="37"/>
      <c r="J11" s="37"/>
      <c r="K11" s="37"/>
    </row>
    <row r="12" spans="1:11" ht="15.75" x14ac:dyDescent="0.25">
      <c r="A12" s="40" t="s">
        <v>61</v>
      </c>
      <c r="B12" s="41"/>
      <c r="C12" s="41"/>
      <c r="D12" s="41"/>
      <c r="E12" s="4"/>
      <c r="F12" s="42"/>
      <c r="G12" s="42"/>
      <c r="H12" s="37"/>
      <c r="I12" s="43"/>
      <c r="J12" s="37"/>
      <c r="K12" s="37"/>
    </row>
    <row r="13" spans="1:11" ht="15.75" x14ac:dyDescent="0.25">
      <c r="A13" s="40"/>
      <c r="B13" s="41"/>
      <c r="C13" s="41"/>
      <c r="D13" s="41"/>
      <c r="E13" s="48"/>
      <c r="F13" s="42"/>
      <c r="G13" s="42"/>
      <c r="H13" s="37"/>
      <c r="I13" s="43"/>
      <c r="J13" s="37"/>
      <c r="K13" s="37"/>
    </row>
    <row r="14" spans="1:11" ht="15.75" x14ac:dyDescent="0.25">
      <c r="A14" s="40"/>
      <c r="B14" s="41"/>
      <c r="C14" s="41"/>
      <c r="D14" s="41"/>
      <c r="E14" s="48"/>
      <c r="F14" s="42"/>
      <c r="G14" s="42"/>
      <c r="H14" s="37"/>
      <c r="I14" s="43"/>
      <c r="J14" s="37"/>
      <c r="K14" s="37"/>
    </row>
    <row r="15" spans="1:11" x14ac:dyDescent="0.25">
      <c r="A15" s="38" t="s">
        <v>66</v>
      </c>
    </row>
    <row r="17" spans="1:11" x14ac:dyDescent="0.25">
      <c r="A17" s="38" t="s">
        <v>67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25">
      <c r="E18" s="38"/>
    </row>
    <row r="33" spans="1:1" x14ac:dyDescent="0.25">
      <c r="A33" s="38"/>
    </row>
    <row r="34" spans="1:1" x14ac:dyDescent="0.25">
      <c r="A34" s="38"/>
    </row>
  </sheetData>
  <sheetProtection password="B9A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1"/>
  <sheetViews>
    <sheetView workbookViewId="0">
      <selection activeCell="C11" sqref="C11:H11"/>
    </sheetView>
  </sheetViews>
  <sheetFormatPr baseColWidth="10" defaultRowHeight="14.25" x14ac:dyDescent="0.2"/>
  <cols>
    <col min="1" max="1" width="11.42578125" style="44"/>
    <col min="2" max="2" width="13" style="44" customWidth="1"/>
    <col min="3" max="7" width="11.42578125" style="44"/>
    <col min="8" max="8" width="35" style="44" customWidth="1"/>
    <col min="9" max="16384" width="11.42578125" style="44"/>
  </cols>
  <sheetData>
    <row r="8" spans="1:9" ht="38.25" customHeight="1" x14ac:dyDescent="0.25">
      <c r="A8" s="45" t="s">
        <v>62</v>
      </c>
    </row>
    <row r="9" spans="1:9" ht="18" x14ac:dyDescent="0.25">
      <c r="A9" s="45"/>
    </row>
    <row r="10" spans="1:9" x14ac:dyDescent="0.2">
      <c r="B10" s="44" t="s">
        <v>63</v>
      </c>
    </row>
    <row r="11" spans="1:9" ht="19.5" customHeight="1" x14ac:dyDescent="0.25">
      <c r="B11" s="46" t="s">
        <v>64</v>
      </c>
      <c r="C11" s="51" t="s">
        <v>68</v>
      </c>
      <c r="D11" s="51"/>
      <c r="E11" s="51"/>
      <c r="F11" s="51"/>
      <c r="G11" s="51"/>
      <c r="H11" s="51"/>
      <c r="I11" s="47" t="s">
        <v>65</v>
      </c>
    </row>
  </sheetData>
  <sheetProtection password="B9A0" sheet="1" objects="1" scenarios="1"/>
  <mergeCells count="1">
    <mergeCell ref="C11:H11"/>
  </mergeCells>
  <hyperlinks>
    <hyperlink ref="C11:H11" r:id="rId1" display=" https://www.projetentreprise.fr/produit/mot-de-passe-tableau-suivi-chiffre-affaires-marge/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3"/>
  <sheetViews>
    <sheetView zoomScale="80" zoomScaleNormal="80" workbookViewId="0">
      <selection activeCell="D7" sqref="D7"/>
    </sheetView>
  </sheetViews>
  <sheetFormatPr baseColWidth="10" defaultRowHeight="15" x14ac:dyDescent="0.25"/>
  <cols>
    <col min="1" max="2" width="3" style="1" customWidth="1"/>
    <col min="3" max="3" width="29.140625" style="1" customWidth="1"/>
    <col min="4" max="15" width="14.42578125" style="1" bestFit="1" customWidth="1"/>
    <col min="16" max="16" width="16" style="1" bestFit="1" customWidth="1"/>
    <col min="17" max="16384" width="11.42578125" style="1"/>
  </cols>
  <sheetData>
    <row r="3" spans="3:16" ht="23.25" x14ac:dyDescent="0.35">
      <c r="C3" s="60" t="s">
        <v>69</v>
      </c>
    </row>
    <row r="6" spans="3:16" ht="34.5" customHeight="1" x14ac:dyDescent="0.25">
      <c r="C6" s="30"/>
      <c r="D6" s="31" t="s">
        <v>32</v>
      </c>
      <c r="E6" s="31" t="s">
        <v>33</v>
      </c>
      <c r="F6" s="31" t="s">
        <v>34</v>
      </c>
      <c r="G6" s="31" t="s">
        <v>35</v>
      </c>
      <c r="H6" s="31" t="s">
        <v>36</v>
      </c>
      <c r="I6" s="31" t="s">
        <v>37</v>
      </c>
      <c r="J6" s="31" t="s">
        <v>38</v>
      </c>
      <c r="K6" s="31" t="s">
        <v>39</v>
      </c>
      <c r="L6" s="31" t="s">
        <v>40</v>
      </c>
      <c r="M6" s="31" t="s">
        <v>41</v>
      </c>
      <c r="N6" s="31" t="s">
        <v>42</v>
      </c>
      <c r="O6" s="31" t="s">
        <v>43</v>
      </c>
      <c r="P6" s="13" t="s">
        <v>44</v>
      </c>
    </row>
    <row r="7" spans="3:16" ht="37.5" customHeight="1" x14ac:dyDescent="0.25">
      <c r="C7" s="49" t="s">
        <v>0</v>
      </c>
      <c r="D7" s="50">
        <f>Tableau1[[#Totals],[Montant HT]]</f>
        <v>2700</v>
      </c>
      <c r="E7" s="50">
        <f>Tableau17[[#Totals],[Montant HT]]</f>
        <v>0</v>
      </c>
      <c r="F7" s="50">
        <f>Tableau1712[[#Totals],[Montant HT]]</f>
        <v>0</v>
      </c>
      <c r="G7" s="50">
        <f>Tableau1717[[#Totals],[Montant HT]]</f>
        <v>0</v>
      </c>
      <c r="H7" s="50">
        <f>Tableau1722[[#Totals],[Montant HT]]</f>
        <v>0</v>
      </c>
      <c r="I7" s="50">
        <f>Tableau1727[[#Totals],[Montant HT]]</f>
        <v>0</v>
      </c>
      <c r="J7" s="50">
        <f>Tableau1732[[#Totals],[Montant HT]]</f>
        <v>0</v>
      </c>
      <c r="K7" s="50">
        <f>Tableau1737[[#Totals],[Montant HT]]</f>
        <v>0</v>
      </c>
      <c r="L7" s="50">
        <f>Tableau1742[[#Totals],[Montant HT]]</f>
        <v>0</v>
      </c>
      <c r="M7" s="50">
        <f>Tableau1747[[#Totals],[Montant HT]]</f>
        <v>0</v>
      </c>
      <c r="N7" s="50">
        <f>Tableau1752[[#Totals],[Montant HT]]</f>
        <v>0</v>
      </c>
      <c r="O7" s="50">
        <f>Tableau175257[[#Totals],[Montant HT]]</f>
        <v>0</v>
      </c>
      <c r="P7" s="21">
        <f>SUM(D7:O7)</f>
        <v>2700</v>
      </c>
    </row>
    <row r="8" spans="3:16" ht="37.5" customHeight="1" x14ac:dyDescent="0.25">
      <c r="C8" s="14" t="s">
        <v>13</v>
      </c>
      <c r="D8" s="15">
        <f>Tableau1[[#Totals],[Couts d''achat et d''approvisionnement]]</f>
        <v>0</v>
      </c>
      <c r="E8" s="15">
        <f>Tableau17[[#Totals],[Couts d''achat et d''approvisionnement]]</f>
        <v>0</v>
      </c>
      <c r="F8" s="15">
        <f>Tableau1712[[#Totals],[Couts d''achat et d''approvisionnement]]</f>
        <v>0</v>
      </c>
      <c r="G8" s="15">
        <f>Tableau1717[[#Totals],[Couts d''achat et d''approvisionnement]]</f>
        <v>0</v>
      </c>
      <c r="H8" s="15">
        <f>Tableau1722[[#Totals],[Couts d''achat et d''approvisionnement]]</f>
        <v>0</v>
      </c>
      <c r="I8" s="15">
        <f>Tableau1727[[#Totals],[Couts d''achat et d''approvisionnement]]</f>
        <v>0</v>
      </c>
      <c r="J8" s="15">
        <f>Tableau1732[[#Totals],[Couts d''achat et d''approvisionnement]]</f>
        <v>0</v>
      </c>
      <c r="K8" s="15">
        <f>Tableau1737[[#Totals],[Couts d''achat et d''approvisionnement]]</f>
        <v>0</v>
      </c>
      <c r="L8" s="15">
        <f>Tableau1742[[#Totals],[Couts d''achat et d''approvisionnement]]</f>
        <v>0</v>
      </c>
      <c r="M8" s="15">
        <f>Tableau1747[[#Totals],[Couts d''achat et d''approvisionnement]]</f>
        <v>0</v>
      </c>
      <c r="N8" s="15">
        <f>Tableau1752[[#Totals],[Couts d''achat et d''approvisionnement]]</f>
        <v>0</v>
      </c>
      <c r="O8" s="15">
        <f>Tableau175257[[#Totals],[Couts d''achat et d''approvisionnement]]</f>
        <v>0</v>
      </c>
      <c r="P8" s="21">
        <f t="shared" ref="P8:P11" si="0">SUM(D8:O8)</f>
        <v>0</v>
      </c>
    </row>
    <row r="9" spans="3:16" ht="37.5" customHeight="1" x14ac:dyDescent="0.25">
      <c r="C9" s="14" t="s">
        <v>45</v>
      </c>
      <c r="D9" s="16">
        <f>Tableau1354[[#Totals],[Coûts de production]]</f>
        <v>600</v>
      </c>
      <c r="E9" s="16">
        <f>Tableau13548[[#Totals],[Coûts de production]]</f>
        <v>0</v>
      </c>
      <c r="F9" s="16">
        <f>Tableau1354813[[#Totals],[Coûts de production]]</f>
        <v>0</v>
      </c>
      <c r="G9" s="16">
        <f>Tableau1354818[[#Totals],[Coûts de production]]</f>
        <v>0</v>
      </c>
      <c r="H9" s="16">
        <f>Tableau1354823[[#Totals],[Coûts de production]]</f>
        <v>0</v>
      </c>
      <c r="I9" s="16">
        <f>Tableau1354828[[#Totals],[Coûts de production]]</f>
        <v>0</v>
      </c>
      <c r="J9" s="16">
        <f>Tableau1354833[[#Totals],[Coûts de production]]</f>
        <v>0</v>
      </c>
      <c r="K9" s="16">
        <f>Tableau1354838[[#Totals],[Coûts de production]]</f>
        <v>0</v>
      </c>
      <c r="L9" s="16">
        <f>Tableau1354843[[#Totals],[Coûts de production]]</f>
        <v>0</v>
      </c>
      <c r="M9" s="16">
        <f>Tableau1354848[[#Totals],[Coûts de production]]</f>
        <v>0</v>
      </c>
      <c r="N9" s="16">
        <f>Tableau1354853[[#Totals],[Coûts de production]]</f>
        <v>0</v>
      </c>
      <c r="O9" s="16">
        <f>Tableau135485358[[#Totals],[Coûts de production]]</f>
        <v>0</v>
      </c>
      <c r="P9" s="21">
        <f t="shared" si="0"/>
        <v>600</v>
      </c>
    </row>
    <row r="10" spans="3:16" ht="37.5" customHeight="1" x14ac:dyDescent="0.25">
      <c r="C10" s="14" t="s">
        <v>46</v>
      </c>
      <c r="D10" s="16">
        <f>Tableau13455[[#Totals],[Coûts de commercialisation et distribution]]</f>
        <v>2130</v>
      </c>
      <c r="E10" s="16">
        <f>Tableau134559[[#Totals],[Coûts de commercialisation et distribution]]</f>
        <v>0</v>
      </c>
      <c r="F10" s="16">
        <f>Tableau13455914[[#Totals],[Coûts de commercialisation et distribution]]</f>
        <v>0</v>
      </c>
      <c r="G10" s="16">
        <f>Tableau13455919[[#Totals],[Coûts de commercialisation et distribution]]</f>
        <v>0</v>
      </c>
      <c r="H10" s="16">
        <f>Tableau13455924[[#Totals],[Coûts de commercialisation et distribution]]</f>
        <v>0</v>
      </c>
      <c r="I10" s="16">
        <f>Tableau13455929[[#Totals],[Coûts de commercialisation et distribution]]</f>
        <v>0</v>
      </c>
      <c r="J10" s="16">
        <f>Tableau13455934[[#Totals],[Coûts de commercialisation et distribution]]</f>
        <v>0</v>
      </c>
      <c r="K10" s="16">
        <f>Tableau13455939[[#Totals],[Coûts de commercialisation et distribution]]</f>
        <v>0</v>
      </c>
      <c r="L10" s="16">
        <f>Tableau13455944[[#Totals],[Coûts de commercialisation et distribution]]</f>
        <v>0</v>
      </c>
      <c r="M10" s="16">
        <f>Tableau13455949[[#Totals],[Coûts de commercialisation et distribution]]</f>
        <v>0</v>
      </c>
      <c r="N10" s="16">
        <f>Tableau13455954[[#Totals],[Coûts de commercialisation et distribution]]</f>
        <v>0</v>
      </c>
      <c r="O10" s="16">
        <f>Tableau1345595459[[#Totals],[Coûts de commercialisation et distribution]]</f>
        <v>0</v>
      </c>
      <c r="P10" s="21">
        <f t="shared" si="0"/>
        <v>2130</v>
      </c>
    </row>
    <row r="11" spans="3:16" ht="37.5" customHeight="1" x14ac:dyDescent="0.25">
      <c r="C11" s="14" t="s">
        <v>3</v>
      </c>
      <c r="D11" s="16">
        <f>Tableau134556[[#Totals],[Coûts administratifs]]</f>
        <v>0</v>
      </c>
      <c r="E11" s="16">
        <f>Tableau13455610[[#Totals],[Coûts administratifs]]</f>
        <v>0</v>
      </c>
      <c r="F11" s="16">
        <f>Tableau1345561015[[#Totals],[Coûts administratifs]]</f>
        <v>0</v>
      </c>
      <c r="G11" s="16">
        <f>Tableau1345561020[[#Totals],[Coûts administratifs]]</f>
        <v>0</v>
      </c>
      <c r="H11" s="16">
        <f>Tableau1345561025[[#Totals],[Coûts administratifs]]</f>
        <v>0</v>
      </c>
      <c r="I11" s="16">
        <f>Tableau1345561030[[#Totals],[Coûts administratifs]]</f>
        <v>0</v>
      </c>
      <c r="J11" s="16">
        <f>Tableau1345561035[[#Totals],[Coûts administratifs]]</f>
        <v>0</v>
      </c>
      <c r="K11" s="16">
        <f>Tableau1345561040[[#Totals],[Coûts administratifs]]</f>
        <v>0</v>
      </c>
      <c r="L11" s="16">
        <f>Tableau1345561045[[#Totals],[Coûts administratifs]]</f>
        <v>0</v>
      </c>
      <c r="M11" s="16">
        <f>Tableau1345561050[[#Totals],[Coûts administratifs]]</f>
        <v>0</v>
      </c>
      <c r="N11" s="16">
        <f>Tableau1345561055[[#Totals],[Coûts administratifs]]</f>
        <v>0</v>
      </c>
      <c r="O11" s="16">
        <f>Tableau134556105560[[#Totals],[Coûts administratifs]]</f>
        <v>0</v>
      </c>
      <c r="P11" s="21">
        <f t="shared" si="0"/>
        <v>0</v>
      </c>
    </row>
    <row r="12" spans="3:16" ht="37.5" customHeight="1" x14ac:dyDescent="0.25">
      <c r="C12" s="20" t="s">
        <v>48</v>
      </c>
      <c r="D12" s="17">
        <f>SUM(D8:D11)</f>
        <v>2730</v>
      </c>
      <c r="E12" s="17">
        <f t="shared" ref="E12:O12" si="1">SUM(E8:E11)</f>
        <v>0</v>
      </c>
      <c r="F12" s="17">
        <f t="shared" si="1"/>
        <v>0</v>
      </c>
      <c r="G12" s="17">
        <f t="shared" si="1"/>
        <v>0</v>
      </c>
      <c r="H12" s="17">
        <f t="shared" si="1"/>
        <v>0</v>
      </c>
      <c r="I12" s="17">
        <f t="shared" si="1"/>
        <v>0</v>
      </c>
      <c r="J12" s="17">
        <f t="shared" si="1"/>
        <v>0</v>
      </c>
      <c r="K12" s="17">
        <f t="shared" si="1"/>
        <v>0</v>
      </c>
      <c r="L12" s="17">
        <f t="shared" si="1"/>
        <v>0</v>
      </c>
      <c r="M12" s="17">
        <f t="shared" si="1"/>
        <v>0</v>
      </c>
      <c r="N12" s="17">
        <f t="shared" si="1"/>
        <v>0</v>
      </c>
      <c r="O12" s="17">
        <f t="shared" si="1"/>
        <v>0</v>
      </c>
      <c r="P12" s="21">
        <f>SUM(D12:O12)</f>
        <v>2730</v>
      </c>
    </row>
    <row r="13" spans="3:16" ht="37.5" customHeight="1" x14ac:dyDescent="0.25">
      <c r="C13" s="19" t="s">
        <v>47</v>
      </c>
      <c r="D13" s="18">
        <f>D7-D12</f>
        <v>-30</v>
      </c>
      <c r="E13" s="18">
        <f>E7-E12</f>
        <v>0</v>
      </c>
      <c r="F13" s="18">
        <f t="shared" ref="F13:O13" si="2">F7-F12</f>
        <v>0</v>
      </c>
      <c r="G13" s="18">
        <f t="shared" si="2"/>
        <v>0</v>
      </c>
      <c r="H13" s="18">
        <f t="shared" si="2"/>
        <v>0</v>
      </c>
      <c r="I13" s="18">
        <f t="shared" si="2"/>
        <v>0</v>
      </c>
      <c r="J13" s="18">
        <f t="shared" si="2"/>
        <v>0</v>
      </c>
      <c r="K13" s="18">
        <f t="shared" si="2"/>
        <v>0</v>
      </c>
      <c r="L13" s="18">
        <f t="shared" si="2"/>
        <v>0</v>
      </c>
      <c r="M13" s="18">
        <f t="shared" si="2"/>
        <v>0</v>
      </c>
      <c r="N13" s="18">
        <f t="shared" si="2"/>
        <v>0</v>
      </c>
      <c r="O13" s="18">
        <f t="shared" si="2"/>
        <v>0</v>
      </c>
      <c r="P13" s="21">
        <f>P7-P12</f>
        <v>-30</v>
      </c>
    </row>
  </sheetData>
  <sheetProtection password="B9A0" sheet="1" objects="1" scenarios="1"/>
  <conditionalFormatting sqref="D13:O13">
    <cfRule type="cellIs" dxfId="447" priority="1" operator="lessThan">
      <formula>0</formula>
    </cfRule>
  </conditionalFormatting>
  <hyperlinks>
    <hyperlink ref="D6" location="Janvier!A1" display="Janvier"/>
    <hyperlink ref="E6" location="Février!A1" display="Février "/>
    <hyperlink ref="F6" location="Mars!A1" display="Mars"/>
    <hyperlink ref="G6" location="Avril!A1" display="Avril"/>
    <hyperlink ref="H6" location="Mai!A1" display="Mai"/>
    <hyperlink ref="I6" location="Juin!A1" display="Juin"/>
    <hyperlink ref="J6" location="Juillet!A1" display="Juillet"/>
    <hyperlink ref="K6" location="Aout!A1" display="Aout"/>
    <hyperlink ref="L6" location="'Septembre '!A1" display="Septembre"/>
    <hyperlink ref="M6" location="Octobre!A1" display="Octobre"/>
    <hyperlink ref="N6" location="Novembre!A1" display="Novembre"/>
    <hyperlink ref="O6" location="'Décembre '!A1" display="Décembre 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>
        <v>43101</v>
      </c>
      <c r="B3" s="62" t="s">
        <v>29</v>
      </c>
      <c r="C3" s="63">
        <v>1000</v>
      </c>
      <c r="D3" s="63">
        <v>0</v>
      </c>
      <c r="E3" s="63">
        <v>0</v>
      </c>
      <c r="F3" s="63">
        <v>0</v>
      </c>
      <c r="G3" s="63">
        <v>0</v>
      </c>
      <c r="H3" s="6">
        <f>IF(Tableau1[[#This Row],[Libellé de la prestation de services]]="","",SUM(Tableau1[[#This Row],[Matières premières]:[Frais de livraison liés aux achats]]))</f>
        <v>0</v>
      </c>
      <c r="I3" s="63">
        <v>200</v>
      </c>
      <c r="J3" s="63">
        <v>0</v>
      </c>
      <c r="K3" s="6">
        <f>IF(Tableau1[[#This Row],[Libellé de la prestation de services]]="","",SUM(Tableau1[[#This Row],[Mains d’œuvre avec charges sociales et patronales,]:[Charges locatives]]))</f>
        <v>200</v>
      </c>
      <c r="L3" s="64">
        <v>690</v>
      </c>
      <c r="M3" s="64">
        <v>690</v>
      </c>
      <c r="N3" s="64">
        <v>600</v>
      </c>
      <c r="O3" s="64">
        <v>0</v>
      </c>
      <c r="P3" s="6">
        <f>IF(Tableau1[[#This Row],[Libellé de la prestation de services]]="","",SUM(Tableau1354[[#This Row],[Marketing]:[Livraison]]))</f>
        <v>1980</v>
      </c>
      <c r="Q3" s="63">
        <v>0</v>
      </c>
      <c r="R3" s="63">
        <v>0</v>
      </c>
      <c r="S3" s="63">
        <v>0</v>
      </c>
      <c r="T3" s="6">
        <f>IF(Tableau1[[#This Row],[Libellé de la prestation de services]]="","",SUM(Tableau13455[[#This Row],[services généraux]:[impôts]]))</f>
        <v>0</v>
      </c>
      <c r="U3" s="9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>2180</v>
      </c>
      <c r="V3" s="9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>-1180</v>
      </c>
      <c r="W3" s="10">
        <f>IF(Tableau1[[#This Row],[Montant HT]]="","",Tableau13455657[[#This Row],[Marge nette sur prestation ]]/Tableau134556[[#This Row],[Coût de revient unitaire]])</f>
        <v>-0.54128440366972475</v>
      </c>
      <c r="X3" s="10">
        <f>IF(Tableau1[[#This Row],[Montant HT]]="","",Tableau13455657[[#This Row],[Marge nette sur prestation ]]/Tableau1[[#This Row],[Montant HT]])</f>
        <v>-1.18</v>
      </c>
    </row>
    <row r="4" spans="1:24" ht="15.75" x14ac:dyDescent="0.25">
      <c r="A4" s="61">
        <v>43110</v>
      </c>
      <c r="B4" s="62" t="s">
        <v>30</v>
      </c>
      <c r="C4" s="63">
        <v>1500</v>
      </c>
      <c r="D4" s="63">
        <v>0</v>
      </c>
      <c r="E4" s="63">
        <v>0</v>
      </c>
      <c r="F4" s="63">
        <v>0</v>
      </c>
      <c r="G4" s="63">
        <v>0</v>
      </c>
      <c r="H4" s="6">
        <f>IF(Tableau1[[#This Row],[Libellé de la prestation de services]]="","",SUM(Tableau1[[#This Row],[Matières premières]:[Frais de livraison liés aux achats]]))</f>
        <v>0</v>
      </c>
      <c r="I4" s="63">
        <v>250</v>
      </c>
      <c r="J4" s="63">
        <v>0</v>
      </c>
      <c r="K4" s="6">
        <f>IF(Tableau1[[#This Row],[Libellé de la prestation de services]]="","",SUM(Tableau1[[#This Row],[Mains d’œuvre avec charges sociales et patronales,]:[Charges locatives]]))</f>
        <v>250</v>
      </c>
      <c r="L4" s="64">
        <v>0</v>
      </c>
      <c r="M4" s="64">
        <v>150</v>
      </c>
      <c r="N4" s="64">
        <v>0</v>
      </c>
      <c r="O4" s="64">
        <v>0</v>
      </c>
      <c r="P4" s="6">
        <f>IF(Tableau1[[#This Row],[Libellé de la prestation de services]]="","",SUM(Tableau1354[[#This Row],[Marketing]:[Livraison]]))</f>
        <v>150</v>
      </c>
      <c r="Q4" s="63">
        <v>0</v>
      </c>
      <c r="R4" s="63">
        <v>0</v>
      </c>
      <c r="S4" s="63">
        <v>0</v>
      </c>
      <c r="T4" s="6">
        <f>IF(Tableau1[[#This Row],[Libellé de la prestation de services]]="","",SUM(Tableau13455[[#This Row],[services généraux]:[impôts]]))</f>
        <v>0</v>
      </c>
      <c r="U4" s="9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>400</v>
      </c>
      <c r="V4" s="9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>1100</v>
      </c>
      <c r="W4" s="10">
        <f>IF(Tableau1[[#This Row],[Montant HT]]="","",Tableau13455657[[#This Row],[Marge nette sur prestation ]]/Tableau134556[[#This Row],[Coût de revient unitaire]])</f>
        <v>2.75</v>
      </c>
      <c r="X4" s="10">
        <f>IF(Tableau1[[#This Row],[Montant HT]]="","",Tableau13455657[[#This Row],[Marge nette sur prestation ]]/Tableau1[[#This Row],[Montant HT]])</f>
        <v>0.73333333333333328</v>
      </c>
    </row>
    <row r="5" spans="1:24" ht="15.75" x14ac:dyDescent="0.25">
      <c r="A5" s="61">
        <v>43115</v>
      </c>
      <c r="B5" s="62" t="s">
        <v>31</v>
      </c>
      <c r="C5" s="63">
        <v>200</v>
      </c>
      <c r="D5" s="63">
        <v>0</v>
      </c>
      <c r="E5" s="63">
        <v>0</v>
      </c>
      <c r="F5" s="63">
        <v>0</v>
      </c>
      <c r="G5" s="63">
        <v>0</v>
      </c>
      <c r="H5" s="6">
        <f>IF(Tableau1[[#This Row],[Libellé de la prestation de services]]="","",SUM(Tableau1[[#This Row],[Matières premières]:[Frais de livraison liés aux achats]]))</f>
        <v>0</v>
      </c>
      <c r="I5" s="63">
        <v>150</v>
      </c>
      <c r="J5" s="63">
        <v>0</v>
      </c>
      <c r="K5" s="6">
        <f>IF(Tableau1[[#This Row],[Libellé de la prestation de services]]="","",SUM(Tableau1[[#This Row],[Mains d’œuvre avec charges sociales et patronales,]:[Charges locatives]]))</f>
        <v>150</v>
      </c>
      <c r="L5" s="64">
        <v>0</v>
      </c>
      <c r="M5" s="64">
        <v>0</v>
      </c>
      <c r="N5" s="64">
        <v>0</v>
      </c>
      <c r="O5" s="64">
        <v>0</v>
      </c>
      <c r="P5" s="6">
        <f>IF(Tableau1[[#This Row],[Libellé de la prestation de services]]="","",SUM(Tableau1354[[#This Row],[Marketing]:[Livraison]]))</f>
        <v>0</v>
      </c>
      <c r="Q5" s="63">
        <v>0</v>
      </c>
      <c r="R5" s="63">
        <v>0</v>
      </c>
      <c r="S5" s="63">
        <v>0</v>
      </c>
      <c r="T5" s="6">
        <f>IF(Tableau1[[#This Row],[Libellé de la prestation de services]]="","",SUM(Tableau13455[[#This Row],[services généraux]:[impôts]]))</f>
        <v>0</v>
      </c>
      <c r="U5" s="9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>150</v>
      </c>
      <c r="V5" s="9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>50</v>
      </c>
      <c r="W5" s="10">
        <f>IF(Tableau1[[#This Row],[Montant HT]]="","",Tableau13455657[[#This Row],[Marge nette sur prestation ]]/Tableau134556[[#This Row],[Coût de revient unitaire]])</f>
        <v>0.33333333333333331</v>
      </c>
      <c r="X5" s="10">
        <f>IF(Tableau1[[#This Row],[Montant HT]]="","",Tableau13455657[[#This Row],[Marge nette sur prestation ]]/Tableau1[[#This Row],[Montant HT]])</f>
        <v>0.25</v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IF(Tableau1[[#This Row],[Libellé de la prestation de services]]="","",SUM(Tableau1[[#This Row],[Matières premières]:[Frais de livraison liés aux achats]]))</f>
        <v/>
      </c>
      <c r="I6" s="63"/>
      <c r="J6" s="63"/>
      <c r="K6" s="6" t="str">
        <f>IF(Tableau1[[#This Row],[Libellé de la prestation de services]]="","",SUM(Tableau1[[#This Row],[Mains d’œuvre avec charges sociales et patronales,]:[Charges locatives]]))</f>
        <v/>
      </c>
      <c r="L6" s="64"/>
      <c r="M6" s="64"/>
      <c r="N6" s="64"/>
      <c r="O6" s="64"/>
      <c r="P6" s="6" t="str">
        <f>IF(Tableau1[[#This Row],[Libellé de la prestation de services]]="","",SUM(Tableau1354[[#This Row],[Marketing]:[Livraison]]))</f>
        <v/>
      </c>
      <c r="Q6" s="63"/>
      <c r="R6" s="63"/>
      <c r="S6" s="63"/>
      <c r="T6" s="6" t="str">
        <f>IF(Tableau1[[#This Row],[Libellé de la prestation de services]]="","",SUM(Tableau13455[[#This Row],[services généraux]:[impôts]]))</f>
        <v/>
      </c>
      <c r="U6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6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6" s="10" t="str">
        <f>IF(Tableau1[[#This Row],[Montant HT]]="","",Tableau13455657[[#This Row],[Marge nette sur prestation ]]/Tableau134556[[#This Row],[Coût de revient unitaire]])</f>
        <v/>
      </c>
      <c r="X6" s="10" t="str">
        <f>IF(Tableau1[[#This Row],[Montant HT]]="","",Tableau13455657[[#This Row],[Marge nette sur prestation ]]/Tableau1[[#This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IF(Tableau1[[#This Row],[Libellé de la prestation de services]]="","",SUM(Tableau1[[#This Row],[Matières premières]:[Frais de livraison liés aux achats]]))</f>
        <v/>
      </c>
      <c r="I7" s="63"/>
      <c r="J7" s="63"/>
      <c r="K7" s="6" t="str">
        <f>IF(Tableau1[[#This Row],[Libellé de la prestation de services]]="","",SUM(Tableau1[[#This Row],[Mains d’œuvre avec charges sociales et patronales,]:[Charges locatives]]))</f>
        <v/>
      </c>
      <c r="L7" s="64"/>
      <c r="M7" s="64"/>
      <c r="N7" s="64"/>
      <c r="O7" s="64"/>
      <c r="P7" s="6" t="str">
        <f>IF(Tableau1[[#This Row],[Libellé de la prestation de services]]="","",SUM(Tableau1354[[#This Row],[Marketing]:[Livraison]]))</f>
        <v/>
      </c>
      <c r="Q7" s="63"/>
      <c r="R7" s="63"/>
      <c r="S7" s="63"/>
      <c r="T7" s="6" t="str">
        <f>IF(Tableau1[[#This Row],[Libellé de la prestation de services]]="","",SUM(Tableau13455[[#This Row],[services généraux]:[impôts]]))</f>
        <v/>
      </c>
      <c r="U7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7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7" s="10" t="str">
        <f>IF(Tableau1[[#This Row],[Montant HT]]="","",Tableau13455657[[#This Row],[Marge nette sur prestation ]]/Tableau134556[[#This Row],[Coût de revient unitaire]])</f>
        <v/>
      </c>
      <c r="X7" s="10" t="str">
        <f>IF(Tableau1[[#This Row],[Montant HT]]="","",Tableau13455657[[#This Row],[Marge nette sur prestation ]]/Tableau1[[#This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IF(Tableau1[[#This Row],[Libellé de la prestation de services]]="","",SUM(Tableau1[[#This Row],[Matières premières]:[Frais de livraison liés aux achats]]))</f>
        <v/>
      </c>
      <c r="I8" s="63"/>
      <c r="J8" s="63"/>
      <c r="K8" s="6" t="str">
        <f>IF(Tableau1[[#This Row],[Libellé de la prestation de services]]="","",SUM(Tableau1[[#This Row],[Mains d’œuvre avec charges sociales et patronales,]:[Charges locatives]]))</f>
        <v/>
      </c>
      <c r="L8" s="64"/>
      <c r="M8" s="64"/>
      <c r="N8" s="64"/>
      <c r="O8" s="64"/>
      <c r="P8" s="6" t="str">
        <f>IF(Tableau1[[#This Row],[Libellé de la prestation de services]]="","",SUM(Tableau1354[[#This Row],[Marketing]:[Livraison]]))</f>
        <v/>
      </c>
      <c r="Q8" s="63"/>
      <c r="R8" s="63"/>
      <c r="S8" s="63"/>
      <c r="T8" s="6" t="str">
        <f>IF(Tableau1[[#This Row],[Libellé de la prestation de services]]="","",SUM(Tableau13455[[#This Row],[services généraux]:[impôts]]))</f>
        <v/>
      </c>
      <c r="U8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8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8" s="10" t="str">
        <f>IF(Tableau1[[#This Row],[Montant HT]]="","",Tableau13455657[[#This Row],[Marge nette sur prestation ]]/Tableau134556[[#This Row],[Coût de revient unitaire]])</f>
        <v/>
      </c>
      <c r="X8" s="10" t="str">
        <f>IF(Tableau1[[#This Row],[Montant HT]]="","",Tableau13455657[[#This Row],[Marge nette sur prestation ]]/Tableau1[[#This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IF(Tableau1[[#This Row],[Libellé de la prestation de services]]="","",SUM(Tableau1[[#This Row],[Matières premières]:[Frais de livraison liés aux achats]]))</f>
        <v/>
      </c>
      <c r="I9" s="63"/>
      <c r="J9" s="63"/>
      <c r="K9" s="6" t="str">
        <f>IF(Tableau1[[#This Row],[Libellé de la prestation de services]]="","",SUM(Tableau1[[#This Row],[Mains d’œuvre avec charges sociales et patronales,]:[Charges locatives]]))</f>
        <v/>
      </c>
      <c r="L9" s="64"/>
      <c r="M9" s="64"/>
      <c r="N9" s="64"/>
      <c r="O9" s="64"/>
      <c r="P9" s="6" t="str">
        <f>IF(Tableau1[[#This Row],[Libellé de la prestation de services]]="","",SUM(Tableau1354[[#This Row],[Marketing]:[Livraison]]))</f>
        <v/>
      </c>
      <c r="Q9" s="63"/>
      <c r="R9" s="63"/>
      <c r="S9" s="63"/>
      <c r="T9" s="6" t="str">
        <f>IF(Tableau1[[#This Row],[Libellé de la prestation de services]]="","",SUM(Tableau13455[[#This Row],[services généraux]:[impôts]]))</f>
        <v/>
      </c>
      <c r="U9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9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9" s="10" t="str">
        <f>IF(Tableau1[[#This Row],[Montant HT]]="","",Tableau13455657[[#This Row],[Marge nette sur prestation ]]/Tableau134556[[#This Row],[Coût de revient unitaire]])</f>
        <v/>
      </c>
      <c r="X9" s="10" t="str">
        <f>IF(Tableau1[[#This Row],[Montant HT]]="","",Tableau13455657[[#This Row],[Marge nette sur prestation ]]/Tableau1[[#This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IF(Tableau1[[#This Row],[Libellé de la prestation de services]]="","",SUM(Tableau1[[#This Row],[Matières premières]:[Frais de livraison liés aux achats]]))</f>
        <v/>
      </c>
      <c r="I10" s="63"/>
      <c r="J10" s="63"/>
      <c r="K10" s="6" t="str">
        <f>IF(Tableau1[[#This Row],[Libellé de la prestation de services]]="","",SUM(Tableau1[[#This Row],[Mains d’œuvre avec charges sociales et patronales,]:[Charges locatives]]))</f>
        <v/>
      </c>
      <c r="L10" s="64"/>
      <c r="M10" s="64"/>
      <c r="N10" s="64"/>
      <c r="O10" s="64"/>
      <c r="P10" s="6" t="str">
        <f>IF(Tableau1[[#This Row],[Libellé de la prestation de services]]="","",SUM(Tableau1354[[#This Row],[Marketing]:[Livraison]]))</f>
        <v/>
      </c>
      <c r="Q10" s="63"/>
      <c r="R10" s="63"/>
      <c r="S10" s="63"/>
      <c r="T10" s="6" t="str">
        <f>IF(Tableau1[[#This Row],[Libellé de la prestation de services]]="","",SUM(Tableau13455[[#This Row],[services généraux]:[impôts]]))</f>
        <v/>
      </c>
      <c r="U10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0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0" s="10" t="str">
        <f>IF(Tableau1[[#This Row],[Montant HT]]="","",Tableau13455657[[#This Row],[Marge nette sur prestation ]]/Tableau134556[[#This Row],[Coût de revient unitaire]])</f>
        <v/>
      </c>
      <c r="X10" s="10" t="str">
        <f>IF(Tableau1[[#This Row],[Montant HT]]="","",Tableau13455657[[#This Row],[Marge nette sur prestation ]]/Tableau1[[#This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IF(Tableau1[[#This Row],[Libellé de la prestation de services]]="","",SUM(Tableau1[[#This Row],[Matières premières]:[Frais de livraison liés aux achats]]))</f>
        <v/>
      </c>
      <c r="I11" s="63"/>
      <c r="J11" s="63"/>
      <c r="K11" s="6" t="str">
        <f>IF(Tableau1[[#This Row],[Libellé de la prestation de services]]="","",SUM(Tableau1[[#This Row],[Mains d’œuvre avec charges sociales et patronales,]:[Charges locatives]]))</f>
        <v/>
      </c>
      <c r="L11" s="64"/>
      <c r="M11" s="64"/>
      <c r="N11" s="64"/>
      <c r="O11" s="64"/>
      <c r="P11" s="6" t="str">
        <f>IF(Tableau1[[#This Row],[Libellé de la prestation de services]]="","",SUM(Tableau1354[[#This Row],[Marketing]:[Livraison]]))</f>
        <v/>
      </c>
      <c r="Q11" s="63"/>
      <c r="R11" s="63"/>
      <c r="S11" s="63"/>
      <c r="T11" s="6" t="str">
        <f>IF(Tableau1[[#This Row],[Libellé de la prestation de services]]="","",SUM(Tableau13455[[#This Row],[services généraux]:[impôts]]))</f>
        <v/>
      </c>
      <c r="U11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1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1" s="10" t="str">
        <f>IF(Tableau1[[#This Row],[Montant HT]]="","",Tableau13455657[[#This Row],[Marge nette sur prestation ]]/Tableau134556[[#This Row],[Coût de revient unitaire]])</f>
        <v/>
      </c>
      <c r="X11" s="10" t="str">
        <f>IF(Tableau1[[#This Row],[Montant HT]]="","",Tableau13455657[[#This Row],[Marge nette sur prestation ]]/Tableau1[[#This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IF(Tableau1[[#This Row],[Libellé de la prestation de services]]="","",SUM(Tableau1[[#This Row],[Matières premières]:[Frais de livraison liés aux achats]]))</f>
        <v/>
      </c>
      <c r="I12" s="63"/>
      <c r="J12" s="63"/>
      <c r="K12" s="6" t="str">
        <f>IF(Tableau1[[#This Row],[Libellé de la prestation de services]]="","",SUM(Tableau1[[#This Row],[Mains d’œuvre avec charges sociales et patronales,]:[Charges locatives]]))</f>
        <v/>
      </c>
      <c r="L12" s="64"/>
      <c r="M12" s="64"/>
      <c r="N12" s="64"/>
      <c r="O12" s="64"/>
      <c r="P12" s="6" t="str">
        <f>IF(Tableau1[[#This Row],[Libellé de la prestation de services]]="","",SUM(Tableau1354[[#This Row],[Marketing]:[Livraison]]))</f>
        <v/>
      </c>
      <c r="Q12" s="63"/>
      <c r="R12" s="63"/>
      <c r="S12" s="63"/>
      <c r="T12" s="6" t="str">
        <f>IF(Tableau1[[#This Row],[Libellé de la prestation de services]]="","",SUM(Tableau13455[[#This Row],[services généraux]:[impôts]]))</f>
        <v/>
      </c>
      <c r="U12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2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2" s="10" t="str">
        <f>IF(Tableau1[[#This Row],[Montant HT]]="","",Tableau13455657[[#This Row],[Marge nette sur prestation ]]/Tableau134556[[#This Row],[Coût de revient unitaire]])</f>
        <v/>
      </c>
      <c r="X12" s="10" t="str">
        <f>IF(Tableau1[[#This Row],[Montant HT]]="","",Tableau13455657[[#This Row],[Marge nette sur prestation ]]/Tableau1[[#This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IF(Tableau1[[#This Row],[Libellé de la prestation de services]]="","",SUM(Tableau1[[#This Row],[Matières premières]:[Frais de livraison liés aux achats]]))</f>
        <v/>
      </c>
      <c r="I13" s="63"/>
      <c r="J13" s="63"/>
      <c r="K13" s="6" t="str">
        <f>IF(Tableau1[[#This Row],[Libellé de la prestation de services]]="","",SUM(Tableau1[[#This Row],[Mains d’œuvre avec charges sociales et patronales,]:[Charges locatives]]))</f>
        <v/>
      </c>
      <c r="L13" s="64"/>
      <c r="M13" s="64"/>
      <c r="N13" s="64"/>
      <c r="O13" s="64"/>
      <c r="P13" s="6" t="str">
        <f>IF(Tableau1[[#This Row],[Libellé de la prestation de services]]="","",SUM(Tableau1354[[#This Row],[Marketing]:[Livraison]]))</f>
        <v/>
      </c>
      <c r="Q13" s="63"/>
      <c r="R13" s="63"/>
      <c r="S13" s="63"/>
      <c r="T13" s="6" t="str">
        <f>IF(Tableau1[[#This Row],[Libellé de la prestation de services]]="","",SUM(Tableau13455[[#This Row],[services généraux]:[impôts]]))</f>
        <v/>
      </c>
      <c r="U13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3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3" s="10" t="str">
        <f>IF(Tableau1[[#This Row],[Montant HT]]="","",Tableau13455657[[#This Row],[Marge nette sur prestation ]]/Tableau134556[[#This Row],[Coût de revient unitaire]])</f>
        <v/>
      </c>
      <c r="X13" s="10" t="str">
        <f>IF(Tableau1[[#This Row],[Montant HT]]="","",Tableau13455657[[#This Row],[Marge nette sur prestation ]]/Tableau1[[#This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IF(Tableau1[[#This Row],[Libellé de la prestation de services]]="","",SUM(Tableau1[[#This Row],[Matières premières]:[Frais de livraison liés aux achats]]))</f>
        <v/>
      </c>
      <c r="I14" s="63"/>
      <c r="J14" s="63"/>
      <c r="K14" s="6" t="str">
        <f>IF(Tableau1[[#This Row],[Libellé de la prestation de services]]="","",SUM(Tableau1[[#This Row],[Mains d’œuvre avec charges sociales et patronales,]:[Charges locatives]]))</f>
        <v/>
      </c>
      <c r="L14" s="64"/>
      <c r="M14" s="64"/>
      <c r="N14" s="64"/>
      <c r="O14" s="64"/>
      <c r="P14" s="6" t="str">
        <f>IF(Tableau1[[#This Row],[Libellé de la prestation de services]]="","",SUM(Tableau1354[[#This Row],[Marketing]:[Livraison]]))</f>
        <v/>
      </c>
      <c r="Q14" s="63"/>
      <c r="R14" s="63"/>
      <c r="S14" s="63"/>
      <c r="T14" s="6" t="str">
        <f>IF(Tableau1[[#This Row],[Libellé de la prestation de services]]="","",SUM(Tableau13455[[#This Row],[services généraux]:[impôts]]))</f>
        <v/>
      </c>
      <c r="U14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4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4" s="10" t="str">
        <f>IF(Tableau1[[#This Row],[Montant HT]]="","",Tableau13455657[[#This Row],[Marge nette sur prestation ]]/Tableau134556[[#This Row],[Coût de revient unitaire]])</f>
        <v/>
      </c>
      <c r="X14" s="10" t="str">
        <f>IF(Tableau1[[#This Row],[Montant HT]]="","",Tableau13455657[[#This Row],[Marge nette sur prestation ]]/Tableau1[[#This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IF(Tableau1[[#This Row],[Libellé de la prestation de services]]="","",SUM(Tableau1[[#This Row],[Matières premières]:[Frais de livraison liés aux achats]]))</f>
        <v/>
      </c>
      <c r="I15" s="63"/>
      <c r="J15" s="63"/>
      <c r="K15" s="6" t="str">
        <f>IF(Tableau1[[#This Row],[Libellé de la prestation de services]]="","",SUM(Tableau1[[#This Row],[Mains d’œuvre avec charges sociales et patronales,]:[Charges locatives]]))</f>
        <v/>
      </c>
      <c r="L15" s="64"/>
      <c r="M15" s="64"/>
      <c r="N15" s="64"/>
      <c r="O15" s="64"/>
      <c r="P15" s="6" t="str">
        <f>IF(Tableau1[[#This Row],[Libellé de la prestation de services]]="","",SUM(Tableau1354[[#This Row],[Marketing]:[Livraison]]))</f>
        <v/>
      </c>
      <c r="Q15" s="63"/>
      <c r="R15" s="63"/>
      <c r="S15" s="63"/>
      <c r="T15" s="6" t="str">
        <f>IF(Tableau1[[#This Row],[Libellé de la prestation de services]]="","",SUM(Tableau13455[[#This Row],[services généraux]:[impôts]]))</f>
        <v/>
      </c>
      <c r="U15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5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5" s="10" t="str">
        <f>IF(Tableau1[[#This Row],[Montant HT]]="","",Tableau13455657[[#This Row],[Marge nette sur prestation ]]/Tableau134556[[#This Row],[Coût de revient unitaire]])</f>
        <v/>
      </c>
      <c r="X15" s="10" t="str">
        <f>IF(Tableau1[[#This Row],[Montant HT]]="","",Tableau13455657[[#This Row],[Marge nette sur prestation ]]/Tableau1[[#This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IF(Tableau1[[#This Row],[Libellé de la prestation de services]]="","",SUM(Tableau1[[#This Row],[Matières premières]:[Frais de livraison liés aux achats]]))</f>
        <v/>
      </c>
      <c r="I16" s="63"/>
      <c r="J16" s="63"/>
      <c r="K16" s="6" t="str">
        <f>IF(Tableau1[[#This Row],[Libellé de la prestation de services]]="","",SUM(Tableau1[[#This Row],[Mains d’œuvre avec charges sociales et patronales,]:[Charges locatives]]))</f>
        <v/>
      </c>
      <c r="L16" s="64"/>
      <c r="M16" s="64"/>
      <c r="N16" s="64"/>
      <c r="O16" s="64"/>
      <c r="P16" s="6" t="str">
        <f>IF(Tableau1[[#This Row],[Libellé de la prestation de services]]="","",SUM(Tableau1354[[#This Row],[Marketing]:[Livraison]]))</f>
        <v/>
      </c>
      <c r="Q16" s="63"/>
      <c r="R16" s="63"/>
      <c r="S16" s="63"/>
      <c r="T16" s="6" t="str">
        <f>IF(Tableau1[[#This Row],[Libellé de la prestation de services]]="","",SUM(Tableau13455[[#This Row],[services généraux]:[impôts]]))</f>
        <v/>
      </c>
      <c r="U16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6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6" s="10" t="str">
        <f>IF(Tableau1[[#This Row],[Montant HT]]="","",Tableau13455657[[#This Row],[Marge nette sur prestation ]]/Tableau134556[[#This Row],[Coût de revient unitaire]])</f>
        <v/>
      </c>
      <c r="X16" s="10" t="str">
        <f>IF(Tableau1[[#This Row],[Montant HT]]="","",Tableau13455657[[#This Row],[Marge nette sur prestation ]]/Tableau1[[#This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IF(Tableau1[[#This Row],[Libellé de la prestation de services]]="","",SUM(Tableau1[[#This Row],[Matières premières]:[Frais de livraison liés aux achats]]))</f>
        <v/>
      </c>
      <c r="I17" s="63"/>
      <c r="J17" s="63"/>
      <c r="K17" s="6" t="str">
        <f>IF(Tableau1[[#This Row],[Libellé de la prestation de services]]="","",SUM(Tableau1[[#This Row],[Mains d’œuvre avec charges sociales et patronales,]:[Charges locatives]]))</f>
        <v/>
      </c>
      <c r="L17" s="64"/>
      <c r="M17" s="64"/>
      <c r="N17" s="64"/>
      <c r="O17" s="64"/>
      <c r="P17" s="6" t="str">
        <f>IF(Tableau1[[#This Row],[Libellé de la prestation de services]]="","",SUM(Tableau1354[[#This Row],[Marketing]:[Livraison]]))</f>
        <v/>
      </c>
      <c r="Q17" s="63"/>
      <c r="R17" s="63"/>
      <c r="S17" s="63"/>
      <c r="T17" s="6" t="str">
        <f>IF(Tableau1[[#This Row],[Libellé de la prestation de services]]="","",SUM(Tableau13455[[#This Row],[services généraux]:[impôts]]))</f>
        <v/>
      </c>
      <c r="U17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7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7" s="10" t="str">
        <f>IF(Tableau1[[#This Row],[Montant HT]]="","",Tableau13455657[[#This Row],[Marge nette sur prestation ]]/Tableau134556[[#This Row],[Coût de revient unitaire]])</f>
        <v/>
      </c>
      <c r="X17" s="10" t="str">
        <f>IF(Tableau1[[#This Row],[Montant HT]]="","",Tableau13455657[[#This Row],[Marge nette sur prestation ]]/Tableau1[[#This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IF(Tableau1[[#This Row],[Libellé de la prestation de services]]="","",SUM(Tableau1[[#This Row],[Matières premières]:[Frais de livraison liés aux achats]]))</f>
        <v/>
      </c>
      <c r="I18" s="63"/>
      <c r="J18" s="63"/>
      <c r="K18" s="6" t="str">
        <f>IF(Tableau1[[#This Row],[Libellé de la prestation de services]]="","",SUM(Tableau1[[#This Row],[Mains d’œuvre avec charges sociales et patronales,]:[Charges locatives]]))</f>
        <v/>
      </c>
      <c r="L18" s="64"/>
      <c r="M18" s="64"/>
      <c r="N18" s="64"/>
      <c r="O18" s="64"/>
      <c r="P18" s="6" t="str">
        <f>IF(Tableau1[[#This Row],[Libellé de la prestation de services]]="","",SUM(Tableau1354[[#This Row],[Marketing]:[Livraison]]))</f>
        <v/>
      </c>
      <c r="Q18" s="63"/>
      <c r="R18" s="63"/>
      <c r="S18" s="63"/>
      <c r="T18" s="6" t="str">
        <f>IF(Tableau1[[#This Row],[Libellé de la prestation de services]]="","",SUM(Tableau13455[[#This Row],[services généraux]:[impôts]]))</f>
        <v/>
      </c>
      <c r="U18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8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8" s="10" t="str">
        <f>IF(Tableau1[[#This Row],[Montant HT]]="","",Tableau13455657[[#This Row],[Marge nette sur prestation ]]/Tableau134556[[#This Row],[Coût de revient unitaire]])</f>
        <v/>
      </c>
      <c r="X18" s="10" t="str">
        <f>IF(Tableau1[[#This Row],[Montant HT]]="","",Tableau13455657[[#This Row],[Marge nette sur prestation ]]/Tableau1[[#This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IF(Tableau1[[#This Row],[Libellé de la prestation de services]]="","",SUM(Tableau1[[#This Row],[Matières premières]:[Frais de livraison liés aux achats]]))</f>
        <v/>
      </c>
      <c r="I19" s="63"/>
      <c r="J19" s="63"/>
      <c r="K19" s="6" t="str">
        <f>IF(Tableau1[[#This Row],[Libellé de la prestation de services]]="","",SUM(Tableau1[[#This Row],[Mains d’œuvre avec charges sociales et patronales,]:[Charges locatives]]))</f>
        <v/>
      </c>
      <c r="L19" s="64"/>
      <c r="M19" s="64"/>
      <c r="N19" s="64"/>
      <c r="O19" s="64"/>
      <c r="P19" s="6" t="str">
        <f>IF(Tableau1[[#This Row],[Libellé de la prestation de services]]="","",SUM(Tableau1354[[#This Row],[Marketing]:[Livraison]]))</f>
        <v/>
      </c>
      <c r="Q19" s="63"/>
      <c r="R19" s="63"/>
      <c r="S19" s="63"/>
      <c r="T19" s="6" t="str">
        <f>IF(Tableau1[[#This Row],[Libellé de la prestation de services]]="","",SUM(Tableau13455[[#This Row],[services généraux]:[impôts]]))</f>
        <v/>
      </c>
      <c r="U19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19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19" s="10" t="str">
        <f>IF(Tableau1[[#This Row],[Montant HT]]="","",Tableau13455657[[#This Row],[Marge nette sur prestation ]]/Tableau134556[[#This Row],[Coût de revient unitaire]])</f>
        <v/>
      </c>
      <c r="X19" s="10" t="str">
        <f>IF(Tableau1[[#This Row],[Montant HT]]="","",Tableau13455657[[#This Row],[Marge nette sur prestation ]]/Tableau1[[#This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IF(Tableau1[[#This Row],[Libellé de la prestation de services]]="","",SUM(Tableau1[[#This Row],[Matières premières]:[Frais de livraison liés aux achats]]))</f>
        <v/>
      </c>
      <c r="I20" s="63"/>
      <c r="J20" s="63"/>
      <c r="K20" s="6" t="str">
        <f>IF(Tableau1[[#This Row],[Libellé de la prestation de services]]="","",SUM(Tableau1[[#This Row],[Mains d’œuvre avec charges sociales et patronales,]:[Charges locatives]]))</f>
        <v/>
      </c>
      <c r="L20" s="64"/>
      <c r="M20" s="64"/>
      <c r="N20" s="64"/>
      <c r="O20" s="64"/>
      <c r="P20" s="6" t="str">
        <f>IF(Tableau1[[#This Row],[Libellé de la prestation de services]]="","",SUM(Tableau1354[[#This Row],[Marketing]:[Livraison]]))</f>
        <v/>
      </c>
      <c r="Q20" s="63"/>
      <c r="R20" s="63"/>
      <c r="S20" s="63"/>
      <c r="T20" s="6" t="str">
        <f>IF(Tableau1[[#This Row],[Libellé de la prestation de services]]="","",SUM(Tableau13455[[#This Row],[services généraux]:[impôts]]))</f>
        <v/>
      </c>
      <c r="U20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0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0" s="10" t="str">
        <f>IF(Tableau1[[#This Row],[Montant HT]]="","",Tableau13455657[[#This Row],[Marge nette sur prestation ]]/Tableau134556[[#This Row],[Coût de revient unitaire]])</f>
        <v/>
      </c>
      <c r="X20" s="10" t="str">
        <f>IF(Tableau1[[#This Row],[Montant HT]]="","",Tableau13455657[[#This Row],[Marge nette sur prestation ]]/Tableau1[[#This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IF(Tableau1[[#This Row],[Libellé de la prestation de services]]="","",SUM(Tableau1[[#This Row],[Matières premières]:[Frais de livraison liés aux achats]]))</f>
        <v/>
      </c>
      <c r="I21" s="63"/>
      <c r="J21" s="63"/>
      <c r="K21" s="6" t="str">
        <f>IF(Tableau1[[#This Row],[Libellé de la prestation de services]]="","",SUM(Tableau1[[#This Row],[Mains d’œuvre avec charges sociales et patronales,]:[Charges locatives]]))</f>
        <v/>
      </c>
      <c r="L21" s="64"/>
      <c r="M21" s="64"/>
      <c r="N21" s="64"/>
      <c r="O21" s="64"/>
      <c r="P21" s="6" t="str">
        <f>IF(Tableau1[[#This Row],[Libellé de la prestation de services]]="","",SUM(Tableau1354[[#This Row],[Marketing]:[Livraison]]))</f>
        <v/>
      </c>
      <c r="Q21" s="63"/>
      <c r="R21" s="63"/>
      <c r="S21" s="63"/>
      <c r="T21" s="6" t="str">
        <f>IF(Tableau1[[#This Row],[Libellé de la prestation de services]]="","",SUM(Tableau13455[[#This Row],[services généraux]:[impôts]]))</f>
        <v/>
      </c>
      <c r="U21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1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1" s="10" t="str">
        <f>IF(Tableau1[[#This Row],[Montant HT]]="","",Tableau13455657[[#This Row],[Marge nette sur prestation ]]/Tableau134556[[#This Row],[Coût de revient unitaire]])</f>
        <v/>
      </c>
      <c r="X21" s="10" t="str">
        <f>IF(Tableau1[[#This Row],[Montant HT]]="","",Tableau13455657[[#This Row],[Marge nette sur prestation ]]/Tableau1[[#This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IF(Tableau1[[#This Row],[Libellé de la prestation de services]]="","",SUM(Tableau1[[#This Row],[Matières premières]:[Frais de livraison liés aux achats]]))</f>
        <v/>
      </c>
      <c r="I22" s="63"/>
      <c r="J22" s="63"/>
      <c r="K22" s="6" t="str">
        <f>IF(Tableau1[[#This Row],[Libellé de la prestation de services]]="","",SUM(Tableau1[[#This Row],[Mains d’œuvre avec charges sociales et patronales,]:[Charges locatives]]))</f>
        <v/>
      </c>
      <c r="L22" s="64"/>
      <c r="M22" s="64"/>
      <c r="N22" s="64"/>
      <c r="O22" s="64"/>
      <c r="P22" s="6" t="str">
        <f>IF(Tableau1[[#This Row],[Libellé de la prestation de services]]="","",SUM(Tableau1354[[#This Row],[Marketing]:[Livraison]]))</f>
        <v/>
      </c>
      <c r="Q22" s="63"/>
      <c r="R22" s="63"/>
      <c r="S22" s="63"/>
      <c r="T22" s="6" t="str">
        <f>IF(Tableau1[[#This Row],[Libellé de la prestation de services]]="","",SUM(Tableau13455[[#This Row],[services généraux]:[impôts]]))</f>
        <v/>
      </c>
      <c r="U22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2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2" s="10" t="str">
        <f>IF(Tableau1[[#This Row],[Montant HT]]="","",Tableau13455657[[#This Row],[Marge nette sur prestation ]]/Tableau134556[[#This Row],[Coût de revient unitaire]])</f>
        <v/>
      </c>
      <c r="X22" s="10" t="str">
        <f>IF(Tableau1[[#This Row],[Montant HT]]="","",Tableau13455657[[#This Row],[Marge nette sur prestation ]]/Tableau1[[#This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IF(Tableau1[[#This Row],[Libellé de la prestation de services]]="","",SUM(Tableau1[[#This Row],[Matières premières]:[Frais de livraison liés aux achats]]))</f>
        <v/>
      </c>
      <c r="I23" s="63"/>
      <c r="J23" s="63"/>
      <c r="K23" s="6" t="str">
        <f>IF(Tableau1[[#This Row],[Libellé de la prestation de services]]="","",SUM(Tableau1[[#This Row],[Mains d’œuvre avec charges sociales et patronales,]:[Charges locatives]]))</f>
        <v/>
      </c>
      <c r="L23" s="64"/>
      <c r="M23" s="64"/>
      <c r="N23" s="64"/>
      <c r="O23" s="64"/>
      <c r="P23" s="6" t="str">
        <f>IF(Tableau1[[#This Row],[Libellé de la prestation de services]]="","",SUM(Tableau1354[[#This Row],[Marketing]:[Livraison]]))</f>
        <v/>
      </c>
      <c r="Q23" s="63"/>
      <c r="R23" s="63"/>
      <c r="S23" s="63"/>
      <c r="T23" s="6" t="str">
        <f>IF(Tableau1[[#This Row],[Libellé de la prestation de services]]="","",SUM(Tableau13455[[#This Row],[services généraux]:[impôts]]))</f>
        <v/>
      </c>
      <c r="U23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3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3" s="10" t="str">
        <f>IF(Tableau1[[#This Row],[Montant HT]]="","",Tableau13455657[[#This Row],[Marge nette sur prestation ]]/Tableau134556[[#This Row],[Coût de revient unitaire]])</f>
        <v/>
      </c>
      <c r="X23" s="10" t="str">
        <f>IF(Tableau1[[#This Row],[Montant HT]]="","",Tableau13455657[[#This Row],[Marge nette sur prestation ]]/Tableau1[[#This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IF(Tableau1[[#This Row],[Libellé de la prestation de services]]="","",SUM(Tableau1[[#This Row],[Matières premières]:[Frais de livraison liés aux achats]]))</f>
        <v/>
      </c>
      <c r="I24" s="63"/>
      <c r="J24" s="63"/>
      <c r="K24" s="6" t="str">
        <f>IF(Tableau1[[#This Row],[Libellé de la prestation de services]]="","",SUM(Tableau1[[#This Row],[Mains d’œuvre avec charges sociales et patronales,]:[Charges locatives]]))</f>
        <v/>
      </c>
      <c r="L24" s="64"/>
      <c r="M24" s="64"/>
      <c r="N24" s="64"/>
      <c r="O24" s="64"/>
      <c r="P24" s="6" t="str">
        <f>IF(Tableau1[[#This Row],[Libellé de la prestation de services]]="","",SUM(Tableau1354[[#This Row],[Marketing]:[Livraison]]))</f>
        <v/>
      </c>
      <c r="Q24" s="63"/>
      <c r="R24" s="63"/>
      <c r="S24" s="63"/>
      <c r="T24" s="6" t="str">
        <f>IF(Tableau1[[#This Row],[Libellé de la prestation de services]]="","",SUM(Tableau13455[[#This Row],[services généraux]:[impôts]]))</f>
        <v/>
      </c>
      <c r="U24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4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4" s="10" t="str">
        <f>IF(Tableau1[[#This Row],[Montant HT]]="","",Tableau13455657[[#This Row],[Marge nette sur prestation ]]/Tableau134556[[#This Row],[Coût de revient unitaire]])</f>
        <v/>
      </c>
      <c r="X24" s="10" t="str">
        <f>IF(Tableau1[[#This Row],[Montant HT]]="","",Tableau13455657[[#This Row],[Marge nette sur prestation ]]/Tableau1[[#This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IF(Tableau1[[#This Row],[Libellé de la prestation de services]]="","",SUM(Tableau1[[#This Row],[Matières premières]:[Frais de livraison liés aux achats]]))</f>
        <v/>
      </c>
      <c r="I25" s="63"/>
      <c r="J25" s="63"/>
      <c r="K25" s="6" t="str">
        <f>IF(Tableau1[[#This Row],[Libellé de la prestation de services]]="","",SUM(Tableau1[[#This Row],[Mains d’œuvre avec charges sociales et patronales,]:[Charges locatives]]))</f>
        <v/>
      </c>
      <c r="L25" s="64"/>
      <c r="M25" s="64"/>
      <c r="N25" s="64"/>
      <c r="O25" s="64"/>
      <c r="P25" s="6" t="str">
        <f>IF(Tableau1[[#This Row],[Libellé de la prestation de services]]="","",SUM(Tableau1354[[#This Row],[Marketing]:[Livraison]]))</f>
        <v/>
      </c>
      <c r="Q25" s="63"/>
      <c r="R25" s="63"/>
      <c r="S25" s="63"/>
      <c r="T25" s="6" t="str">
        <f>IF(Tableau1[[#This Row],[Libellé de la prestation de services]]="","",SUM(Tableau13455[[#This Row],[services généraux]:[impôts]]))</f>
        <v/>
      </c>
      <c r="U25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5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5" s="10" t="str">
        <f>IF(Tableau1[[#This Row],[Montant HT]]="","",Tableau13455657[[#This Row],[Marge nette sur prestation ]]/Tableau134556[[#This Row],[Coût de revient unitaire]])</f>
        <v/>
      </c>
      <c r="X25" s="10" t="str">
        <f>IF(Tableau1[[#This Row],[Montant HT]]="","",Tableau13455657[[#This Row],[Marge nette sur prestation ]]/Tableau1[[#This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IF(Tableau1[[#This Row],[Libellé de la prestation de services]]="","",SUM(Tableau1[[#This Row],[Matières premières]:[Frais de livraison liés aux achats]]))</f>
        <v/>
      </c>
      <c r="I26" s="63"/>
      <c r="J26" s="63"/>
      <c r="K26" s="6" t="str">
        <f>IF(Tableau1[[#This Row],[Libellé de la prestation de services]]="","",SUM(Tableau1[[#This Row],[Mains d’œuvre avec charges sociales et patronales,]:[Charges locatives]]))</f>
        <v/>
      </c>
      <c r="L26" s="64"/>
      <c r="M26" s="64"/>
      <c r="N26" s="64"/>
      <c r="O26" s="64"/>
      <c r="P26" s="6" t="str">
        <f>IF(Tableau1[[#This Row],[Libellé de la prestation de services]]="","",SUM(Tableau1354[[#This Row],[Marketing]:[Livraison]]))</f>
        <v/>
      </c>
      <c r="Q26" s="63"/>
      <c r="R26" s="63"/>
      <c r="S26" s="63"/>
      <c r="T26" s="6" t="str">
        <f>IF(Tableau1[[#This Row],[Libellé de la prestation de services]]="","",SUM(Tableau13455[[#This Row],[services généraux]:[impôts]]))</f>
        <v/>
      </c>
      <c r="U26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6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6" s="10" t="str">
        <f>IF(Tableau1[[#This Row],[Montant HT]]="","",Tableau13455657[[#This Row],[Marge nette sur prestation ]]/Tableau134556[[#This Row],[Coût de revient unitaire]])</f>
        <v/>
      </c>
      <c r="X26" s="10" t="str">
        <f>IF(Tableau1[[#This Row],[Montant HT]]="","",Tableau13455657[[#This Row],[Marge nette sur prestation ]]/Tableau1[[#This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IF(Tableau1[[#This Row],[Libellé de la prestation de services]]="","",SUM(Tableau1[[#This Row],[Matières premières]:[Frais de livraison liés aux achats]]))</f>
        <v/>
      </c>
      <c r="I27" s="63"/>
      <c r="J27" s="63"/>
      <c r="K27" s="6" t="str">
        <f>IF(Tableau1[[#This Row],[Libellé de la prestation de services]]="","",SUM(Tableau1[[#This Row],[Mains d’œuvre avec charges sociales et patronales,]:[Charges locatives]]))</f>
        <v/>
      </c>
      <c r="L27" s="64"/>
      <c r="M27" s="64"/>
      <c r="N27" s="64"/>
      <c r="O27" s="64"/>
      <c r="P27" s="6" t="str">
        <f>IF(Tableau1[[#This Row],[Libellé de la prestation de services]]="","",SUM(Tableau1354[[#This Row],[Marketing]:[Livraison]]))</f>
        <v/>
      </c>
      <c r="Q27" s="63"/>
      <c r="R27" s="63"/>
      <c r="S27" s="63"/>
      <c r="T27" s="6" t="str">
        <f>IF(Tableau1[[#This Row],[Libellé de la prestation de services]]="","",SUM(Tableau13455[[#This Row],[services généraux]:[impôts]]))</f>
        <v/>
      </c>
      <c r="U27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7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7" s="10" t="str">
        <f>IF(Tableau1[[#This Row],[Montant HT]]="","",Tableau13455657[[#This Row],[Marge nette sur prestation ]]/Tableau134556[[#This Row],[Coût de revient unitaire]])</f>
        <v/>
      </c>
      <c r="X27" s="10" t="str">
        <f>IF(Tableau1[[#This Row],[Montant HT]]="","",Tableau13455657[[#This Row],[Marge nette sur prestation ]]/Tableau1[[#This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IF(Tableau1[[#This Row],[Libellé de la prestation de services]]="","",SUM(Tableau1[[#This Row],[Matières premières]:[Frais de livraison liés aux achats]]))</f>
        <v/>
      </c>
      <c r="I28" s="63"/>
      <c r="J28" s="63"/>
      <c r="K28" s="6" t="str">
        <f>IF(Tableau1[[#This Row],[Libellé de la prestation de services]]="","",SUM(Tableau1[[#This Row],[Mains d’œuvre avec charges sociales et patronales,]:[Charges locatives]]))</f>
        <v/>
      </c>
      <c r="L28" s="64"/>
      <c r="M28" s="64"/>
      <c r="N28" s="64"/>
      <c r="O28" s="64"/>
      <c r="P28" s="6" t="str">
        <f>IF(Tableau1[[#This Row],[Libellé de la prestation de services]]="","",SUM(Tableau1354[[#This Row],[Marketing]:[Livraison]]))</f>
        <v/>
      </c>
      <c r="Q28" s="63"/>
      <c r="R28" s="63"/>
      <c r="S28" s="63"/>
      <c r="T28" s="6" t="str">
        <f>IF(Tableau1[[#This Row],[Libellé de la prestation de services]]="","",SUM(Tableau13455[[#This Row],[services généraux]:[impôts]]))</f>
        <v/>
      </c>
      <c r="U28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8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8" s="10" t="str">
        <f>IF(Tableau1[[#This Row],[Montant HT]]="","",Tableau13455657[[#This Row],[Marge nette sur prestation ]]/Tableau134556[[#This Row],[Coût de revient unitaire]])</f>
        <v/>
      </c>
      <c r="X28" s="10" t="str">
        <f>IF(Tableau1[[#This Row],[Montant HT]]="","",Tableau13455657[[#This Row],[Marge nette sur prestation ]]/Tableau1[[#This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IF(Tableau1[[#This Row],[Libellé de la prestation de services]]="","",SUM(Tableau1[[#This Row],[Matières premières]:[Frais de livraison liés aux achats]]))</f>
        <v/>
      </c>
      <c r="I29" s="63"/>
      <c r="J29" s="63"/>
      <c r="K29" s="6" t="str">
        <f>IF(Tableau1[[#This Row],[Libellé de la prestation de services]]="","",SUM(Tableau1[[#This Row],[Mains d’œuvre avec charges sociales et patronales,]:[Charges locatives]]))</f>
        <v/>
      </c>
      <c r="L29" s="64"/>
      <c r="M29" s="64"/>
      <c r="N29" s="64"/>
      <c r="O29" s="64"/>
      <c r="P29" s="6" t="str">
        <f>IF(Tableau1[[#This Row],[Libellé de la prestation de services]]="","",SUM(Tableau1354[[#This Row],[Marketing]:[Livraison]]))</f>
        <v/>
      </c>
      <c r="Q29" s="63"/>
      <c r="R29" s="63"/>
      <c r="S29" s="63"/>
      <c r="T29" s="6" t="str">
        <f>IF(Tableau1[[#This Row],[Libellé de la prestation de services]]="","",SUM(Tableau13455[[#This Row],[services généraux]:[impôts]]))</f>
        <v/>
      </c>
      <c r="U29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29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29" s="10" t="str">
        <f>IF(Tableau1[[#This Row],[Montant HT]]="","",Tableau13455657[[#This Row],[Marge nette sur prestation ]]/Tableau134556[[#This Row],[Coût de revient unitaire]])</f>
        <v/>
      </c>
      <c r="X29" s="10" t="str">
        <f>IF(Tableau1[[#This Row],[Montant HT]]="","",Tableau13455657[[#This Row],[Marge nette sur prestation ]]/Tableau1[[#This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IF(Tableau1[[#This Row],[Libellé de la prestation de services]]="","",SUM(Tableau1[[#This Row],[Matières premières]:[Frais de livraison liés aux achats]]))</f>
        <v/>
      </c>
      <c r="I30" s="63"/>
      <c r="J30" s="63"/>
      <c r="K30" s="6" t="str">
        <f>IF(Tableau1[[#This Row],[Libellé de la prestation de services]]="","",SUM(Tableau1[[#This Row],[Mains d’œuvre avec charges sociales et patronales,]:[Charges locatives]]))</f>
        <v/>
      </c>
      <c r="L30" s="64"/>
      <c r="M30" s="64"/>
      <c r="N30" s="64"/>
      <c r="O30" s="64"/>
      <c r="P30" s="6" t="str">
        <f>IF(Tableau1[[#This Row],[Libellé de la prestation de services]]="","",SUM(Tableau1354[[#This Row],[Marketing]:[Livraison]]))</f>
        <v/>
      </c>
      <c r="Q30" s="63"/>
      <c r="R30" s="63"/>
      <c r="S30" s="63"/>
      <c r="T30" s="6" t="str">
        <f>IF(Tableau1[[#This Row],[Libellé de la prestation de services]]="","",SUM(Tableau13455[[#This Row],[services généraux]:[impôts]]))</f>
        <v/>
      </c>
      <c r="U30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0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0" s="10" t="str">
        <f>IF(Tableau1[[#This Row],[Montant HT]]="","",Tableau13455657[[#This Row],[Marge nette sur prestation ]]/Tableau134556[[#This Row],[Coût de revient unitaire]])</f>
        <v/>
      </c>
      <c r="X30" s="10" t="str">
        <f>IF(Tableau1[[#This Row],[Montant HT]]="","",Tableau13455657[[#This Row],[Marge nette sur prestation ]]/Tableau1[[#This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IF(Tableau1[[#This Row],[Libellé de la prestation de services]]="","",SUM(Tableau1[[#This Row],[Matières premières]:[Frais de livraison liés aux achats]]))</f>
        <v/>
      </c>
      <c r="I31" s="63"/>
      <c r="J31" s="63"/>
      <c r="K31" s="6" t="str">
        <f>IF(Tableau1[[#This Row],[Libellé de la prestation de services]]="","",SUM(Tableau1[[#This Row],[Mains d’œuvre avec charges sociales et patronales,]:[Charges locatives]]))</f>
        <v/>
      </c>
      <c r="L31" s="64"/>
      <c r="M31" s="64"/>
      <c r="N31" s="64"/>
      <c r="O31" s="64"/>
      <c r="P31" s="6" t="str">
        <f>IF(Tableau1[[#This Row],[Libellé de la prestation de services]]="","",SUM(Tableau1354[[#This Row],[Marketing]:[Livraison]]))</f>
        <v/>
      </c>
      <c r="Q31" s="63"/>
      <c r="R31" s="63"/>
      <c r="S31" s="63"/>
      <c r="T31" s="6" t="str">
        <f>IF(Tableau1[[#This Row],[Libellé de la prestation de services]]="","",SUM(Tableau13455[[#This Row],[services généraux]:[impôts]]))</f>
        <v/>
      </c>
      <c r="U31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1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1" s="10" t="str">
        <f>IF(Tableau1[[#This Row],[Montant HT]]="","",Tableau13455657[[#This Row],[Marge nette sur prestation ]]/Tableau134556[[#This Row],[Coût de revient unitaire]])</f>
        <v/>
      </c>
      <c r="X31" s="10" t="str">
        <f>IF(Tableau1[[#This Row],[Montant HT]]="","",Tableau13455657[[#This Row],[Marge nette sur prestation ]]/Tableau1[[#This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IF(Tableau1[[#This Row],[Libellé de la prestation de services]]="","",SUM(Tableau1[[#This Row],[Matières premières]:[Frais de livraison liés aux achats]]))</f>
        <v/>
      </c>
      <c r="I32" s="63"/>
      <c r="J32" s="63"/>
      <c r="K32" s="6" t="str">
        <f>IF(Tableau1[[#This Row],[Libellé de la prestation de services]]="","",SUM(Tableau1[[#This Row],[Mains d’œuvre avec charges sociales et patronales,]:[Charges locatives]]))</f>
        <v/>
      </c>
      <c r="L32" s="64"/>
      <c r="M32" s="64"/>
      <c r="N32" s="64"/>
      <c r="O32" s="64"/>
      <c r="P32" s="6" t="str">
        <f>IF(Tableau1[[#This Row],[Libellé de la prestation de services]]="","",SUM(Tableau1354[[#This Row],[Marketing]:[Livraison]]))</f>
        <v/>
      </c>
      <c r="Q32" s="63"/>
      <c r="R32" s="63"/>
      <c r="S32" s="63"/>
      <c r="T32" s="6" t="str">
        <f>IF(Tableau1[[#This Row],[Libellé de la prestation de services]]="","",SUM(Tableau13455[[#This Row],[services généraux]:[impôts]]))</f>
        <v/>
      </c>
      <c r="U32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2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2" s="10" t="str">
        <f>IF(Tableau1[[#This Row],[Montant HT]]="","",Tableau13455657[[#This Row],[Marge nette sur prestation ]]/Tableau134556[[#This Row],[Coût de revient unitaire]])</f>
        <v/>
      </c>
      <c r="X32" s="10" t="str">
        <f>IF(Tableau1[[#This Row],[Montant HT]]="","",Tableau13455657[[#This Row],[Marge nette sur prestation ]]/Tableau1[[#This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IF(Tableau1[[#This Row],[Libellé de la prestation de services]]="","",SUM(Tableau1[[#This Row],[Matières premières]:[Frais de livraison liés aux achats]]))</f>
        <v/>
      </c>
      <c r="I33" s="63"/>
      <c r="J33" s="63"/>
      <c r="K33" s="6" t="str">
        <f>IF(Tableau1[[#This Row],[Libellé de la prestation de services]]="","",SUM(Tableau1[[#This Row],[Mains d’œuvre avec charges sociales et patronales,]:[Charges locatives]]))</f>
        <v/>
      </c>
      <c r="L33" s="64"/>
      <c r="M33" s="64"/>
      <c r="N33" s="64"/>
      <c r="O33" s="64"/>
      <c r="P33" s="6" t="str">
        <f>IF(Tableau1[[#This Row],[Libellé de la prestation de services]]="","",SUM(Tableau1354[[#This Row],[Marketing]:[Livraison]]))</f>
        <v/>
      </c>
      <c r="Q33" s="63"/>
      <c r="R33" s="63"/>
      <c r="S33" s="63"/>
      <c r="T33" s="6" t="str">
        <f>IF(Tableau1[[#This Row],[Libellé de la prestation de services]]="","",SUM(Tableau13455[[#This Row],[services généraux]:[impôts]]))</f>
        <v/>
      </c>
      <c r="U33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3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3" s="10" t="str">
        <f>IF(Tableau1[[#This Row],[Montant HT]]="","",Tableau13455657[[#This Row],[Marge nette sur prestation ]]/Tableau134556[[#This Row],[Coût de revient unitaire]])</f>
        <v/>
      </c>
      <c r="X33" s="10" t="str">
        <f>IF(Tableau1[[#This Row],[Montant HT]]="","",Tableau13455657[[#This Row],[Marge nette sur prestation ]]/Tableau1[[#This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IF(Tableau1[[#This Row],[Libellé de la prestation de services]]="","",SUM(Tableau1[[#This Row],[Matières premières]:[Frais de livraison liés aux achats]]))</f>
        <v/>
      </c>
      <c r="I34" s="63"/>
      <c r="J34" s="63"/>
      <c r="K34" s="6" t="str">
        <f>IF(Tableau1[[#This Row],[Libellé de la prestation de services]]="","",SUM(Tableau1[[#This Row],[Mains d’œuvre avec charges sociales et patronales,]:[Charges locatives]]))</f>
        <v/>
      </c>
      <c r="L34" s="64"/>
      <c r="M34" s="64"/>
      <c r="N34" s="64"/>
      <c r="O34" s="64"/>
      <c r="P34" s="6" t="str">
        <f>IF(Tableau1[[#This Row],[Libellé de la prestation de services]]="","",SUM(Tableau1354[[#This Row],[Marketing]:[Livraison]]))</f>
        <v/>
      </c>
      <c r="Q34" s="63"/>
      <c r="R34" s="63"/>
      <c r="S34" s="63"/>
      <c r="T34" s="6" t="str">
        <f>IF(Tableau1[[#This Row],[Libellé de la prestation de services]]="","",SUM(Tableau13455[[#This Row],[services généraux]:[impôts]]))</f>
        <v/>
      </c>
      <c r="U34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4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4" s="10" t="str">
        <f>IF(Tableau1[[#This Row],[Montant HT]]="","",Tableau13455657[[#This Row],[Marge nette sur prestation ]]/Tableau134556[[#This Row],[Coût de revient unitaire]])</f>
        <v/>
      </c>
      <c r="X34" s="10" t="str">
        <f>IF(Tableau1[[#This Row],[Montant HT]]="","",Tableau13455657[[#This Row],[Marge nette sur prestation ]]/Tableau1[[#This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IF(Tableau1[[#This Row],[Libellé de la prestation de services]]="","",SUM(Tableau1[[#This Row],[Matières premières]:[Frais de livraison liés aux achats]]))</f>
        <v/>
      </c>
      <c r="I35" s="63"/>
      <c r="J35" s="63"/>
      <c r="K35" s="6" t="str">
        <f>IF(Tableau1[[#This Row],[Libellé de la prestation de services]]="","",SUM(Tableau1[[#This Row],[Mains d’œuvre avec charges sociales et patronales,]:[Charges locatives]]))</f>
        <v/>
      </c>
      <c r="L35" s="64"/>
      <c r="M35" s="64"/>
      <c r="N35" s="64"/>
      <c r="O35" s="64"/>
      <c r="P35" s="6" t="str">
        <f>IF(Tableau1[[#This Row],[Libellé de la prestation de services]]="","",SUM(Tableau1354[[#This Row],[Marketing]:[Livraison]]))</f>
        <v/>
      </c>
      <c r="Q35" s="63"/>
      <c r="R35" s="63"/>
      <c r="S35" s="63"/>
      <c r="T35" s="6" t="str">
        <f>IF(Tableau1[[#This Row],[Libellé de la prestation de services]]="","",SUM(Tableau13455[[#This Row],[services généraux]:[impôts]]))</f>
        <v/>
      </c>
      <c r="U35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5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5" s="10" t="str">
        <f>IF(Tableau1[[#This Row],[Montant HT]]="","",Tableau13455657[[#This Row],[Marge nette sur prestation ]]/Tableau134556[[#This Row],[Coût de revient unitaire]])</f>
        <v/>
      </c>
      <c r="X35" s="10" t="str">
        <f>IF(Tableau1[[#This Row],[Montant HT]]="","",Tableau13455657[[#This Row],[Marge nette sur prestation ]]/Tableau1[[#This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IF(Tableau1[[#This Row],[Libellé de la prestation de services]]="","",SUM(Tableau1[[#This Row],[Matières premières]:[Frais de livraison liés aux achats]]))</f>
        <v/>
      </c>
      <c r="I36" s="63"/>
      <c r="J36" s="63"/>
      <c r="K36" s="6" t="str">
        <f>IF(Tableau1[[#This Row],[Libellé de la prestation de services]]="","",SUM(Tableau1[[#This Row],[Mains d’œuvre avec charges sociales et patronales,]:[Charges locatives]]))</f>
        <v/>
      </c>
      <c r="L36" s="64"/>
      <c r="M36" s="64"/>
      <c r="N36" s="64"/>
      <c r="O36" s="64"/>
      <c r="P36" s="6" t="str">
        <f>IF(Tableau1[[#This Row],[Libellé de la prestation de services]]="","",SUM(Tableau1354[[#This Row],[Marketing]:[Livraison]]))</f>
        <v/>
      </c>
      <c r="Q36" s="63"/>
      <c r="R36" s="63"/>
      <c r="S36" s="63"/>
      <c r="T36" s="6" t="str">
        <f>IF(Tableau1[[#This Row],[Libellé de la prestation de services]]="","",SUM(Tableau13455[[#This Row],[services généraux]:[impôts]]))</f>
        <v/>
      </c>
      <c r="U36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6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6" s="10" t="str">
        <f>IF(Tableau1[[#This Row],[Montant HT]]="","",Tableau13455657[[#This Row],[Marge nette sur prestation ]]/Tableau134556[[#This Row],[Coût de revient unitaire]])</f>
        <v/>
      </c>
      <c r="X36" s="10" t="str">
        <f>IF(Tableau1[[#This Row],[Montant HT]]="","",Tableau13455657[[#This Row],[Marge nette sur prestation ]]/Tableau1[[#This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IF(Tableau1[[#This Row],[Libellé de la prestation de services]]="","",SUM(Tableau1[[#This Row],[Matières premières]:[Frais de livraison liés aux achats]]))</f>
        <v/>
      </c>
      <c r="I37" s="63"/>
      <c r="J37" s="63"/>
      <c r="K37" s="6" t="str">
        <f>IF(Tableau1[[#This Row],[Libellé de la prestation de services]]="","",SUM(Tableau1[[#This Row],[Mains d’œuvre avec charges sociales et patronales,]:[Charges locatives]]))</f>
        <v/>
      </c>
      <c r="L37" s="64"/>
      <c r="M37" s="64"/>
      <c r="N37" s="64"/>
      <c r="O37" s="64"/>
      <c r="P37" s="6" t="str">
        <f>IF(Tableau1[[#This Row],[Libellé de la prestation de services]]="","",SUM(Tableau1354[[#This Row],[Marketing]:[Livraison]]))</f>
        <v/>
      </c>
      <c r="Q37" s="63"/>
      <c r="R37" s="63"/>
      <c r="S37" s="63"/>
      <c r="T37" s="6" t="str">
        <f>IF(Tableau1[[#This Row],[Libellé de la prestation de services]]="","",SUM(Tableau13455[[#This Row],[services généraux]:[impôts]]))</f>
        <v/>
      </c>
      <c r="U37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7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7" s="10" t="str">
        <f>IF(Tableau1[[#This Row],[Montant HT]]="","",Tableau13455657[[#This Row],[Marge nette sur prestation ]]/Tableau134556[[#This Row],[Coût de revient unitaire]])</f>
        <v/>
      </c>
      <c r="X37" s="10" t="str">
        <f>IF(Tableau1[[#This Row],[Montant HT]]="","",Tableau13455657[[#This Row],[Marge nette sur prestation ]]/Tableau1[[#This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IF(Tableau1[[#This Row],[Libellé de la prestation de services]]="","",SUM(Tableau1[[#This Row],[Matières premières]:[Frais de livraison liés aux achats]]))</f>
        <v/>
      </c>
      <c r="I38" s="63"/>
      <c r="J38" s="63"/>
      <c r="K38" s="6" t="str">
        <f>IF(Tableau1[[#This Row],[Libellé de la prestation de services]]="","",SUM(Tableau1[[#This Row],[Mains d’œuvre avec charges sociales et patronales,]:[Charges locatives]]))</f>
        <v/>
      </c>
      <c r="L38" s="64"/>
      <c r="M38" s="64"/>
      <c r="N38" s="64"/>
      <c r="O38" s="64"/>
      <c r="P38" s="6" t="str">
        <f>IF(Tableau1[[#This Row],[Libellé de la prestation de services]]="","",SUM(Tableau1354[[#This Row],[Marketing]:[Livraison]]))</f>
        <v/>
      </c>
      <c r="Q38" s="63"/>
      <c r="R38" s="63"/>
      <c r="S38" s="63"/>
      <c r="T38" s="6" t="str">
        <f>IF(Tableau1[[#This Row],[Libellé de la prestation de services]]="","",SUM(Tableau13455[[#This Row],[services généraux]:[impôts]]))</f>
        <v/>
      </c>
      <c r="U38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8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8" s="10" t="str">
        <f>IF(Tableau1[[#This Row],[Montant HT]]="","",Tableau13455657[[#This Row],[Marge nette sur prestation ]]/Tableau134556[[#This Row],[Coût de revient unitaire]])</f>
        <v/>
      </c>
      <c r="X38" s="10" t="str">
        <f>IF(Tableau1[[#This Row],[Montant HT]]="","",Tableau13455657[[#This Row],[Marge nette sur prestation ]]/Tableau1[[#This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IF(Tableau1[[#This Row],[Libellé de la prestation de services]]="","",SUM(Tableau1[[#This Row],[Matières premières]:[Frais de livraison liés aux achats]]))</f>
        <v/>
      </c>
      <c r="I39" s="63"/>
      <c r="J39" s="63"/>
      <c r="K39" s="6" t="str">
        <f>IF(Tableau1[[#This Row],[Libellé de la prestation de services]]="","",SUM(Tableau1[[#This Row],[Mains d’œuvre avec charges sociales et patronales,]:[Charges locatives]]))</f>
        <v/>
      </c>
      <c r="L39" s="64"/>
      <c r="M39" s="64"/>
      <c r="N39" s="64"/>
      <c r="O39" s="64"/>
      <c r="P39" s="6" t="str">
        <f>IF(Tableau1[[#This Row],[Libellé de la prestation de services]]="","",SUM(Tableau1354[[#This Row],[Marketing]:[Livraison]]))</f>
        <v/>
      </c>
      <c r="Q39" s="63"/>
      <c r="R39" s="63"/>
      <c r="S39" s="63"/>
      <c r="T39" s="6" t="str">
        <f>IF(Tableau1[[#This Row],[Libellé de la prestation de services]]="","",SUM(Tableau13455[[#This Row],[services généraux]:[impôts]]))</f>
        <v/>
      </c>
      <c r="U39" s="9" t="str">
        <f>IF(Tableau1[[#This Row],[Libellé de la prestation de services]]="","",Tableau1[[#This Row],[Couts d''achat et d''approvisionnement]]+Tableau1354[[#This Row],[Coûts de production]]+Tableau13455[[#This Row],[Coûts de commercialisation et distribution]]+Tableau134556[[#This Row],[Coûts administratifs]])</f>
        <v/>
      </c>
      <c r="V39" s="9" t="str">
        <f>IF(Tableau1[[#This Row],[Libellé de la prestation de services]]="","",Tableau1[[#This Row],[Montant HT]]-Tableau1354[[#This Row],[Coûts de production]]-Tableau13455[[#This Row],[Coûts de commercialisation et distribution]]-Tableau134556[[#This Row],[Coûts administratifs]])</f>
        <v/>
      </c>
      <c r="W39" s="10" t="str">
        <f>IF(Tableau1[[#This Row],[Montant HT]]="","",Tableau13455657[[#This Row],[Marge nette sur prestation ]]/Tableau134556[[#This Row],[Coût de revient unitaire]])</f>
        <v/>
      </c>
      <c r="X39" s="10" t="str">
        <f>IF(Tableau1[[#This Row],[Montant HT]]="","",Tableau13455657[[#This Row],[Marge nette sur prestation ]]/Tableau1[[#This Row],[Montant HT]])</f>
        <v/>
      </c>
    </row>
    <row r="40" spans="1:24" ht="15.75" x14ac:dyDescent="0.25">
      <c r="A40" s="8"/>
      <c r="B40" s="8">
        <f>SUBTOTAL(103,Tableau1[Libellé de la prestation de services])</f>
        <v>3</v>
      </c>
      <c r="C40" s="7">
        <f>SUBTOTAL(109,Tableau1[Montant HT])</f>
        <v>2700</v>
      </c>
      <c r="D40" s="7">
        <f>SUBTOTAL(109,Tableau1[Matières premières])</f>
        <v>0</v>
      </c>
      <c r="E40" s="7">
        <f>SUBTOTAL(109,Tableau1[Marchandises])</f>
        <v>0</v>
      </c>
      <c r="F40" s="7">
        <f>SUBTOTAL(109,Tableau1[Consommables])</f>
        <v>0</v>
      </c>
      <c r="G40" s="7">
        <f>SUBTOTAL(109,Tableau1[Frais de livraison liés aux achats])</f>
        <v>0</v>
      </c>
      <c r="H40" s="7">
        <f>SUBTOTAL(109,Tableau1[Couts d''achat et d''approvisionnement])</f>
        <v>0</v>
      </c>
      <c r="I40" s="7">
        <f>SUBTOTAL(109,Tableau1[Mains d’œuvre avec charges sociales et patronales,])</f>
        <v>600</v>
      </c>
      <c r="J40" s="7">
        <f>SUBTOTAL(109,Tableau1[Charges locatives])</f>
        <v>0</v>
      </c>
      <c r="K40" s="7">
        <f>SUBTOTAL(109,Tableau1354[Coûts de production])</f>
        <v>600</v>
      </c>
      <c r="L40" s="7">
        <f>SUBTOTAL(109,Tableau1354[Marketing])</f>
        <v>690</v>
      </c>
      <c r="M40" s="7">
        <f>SUBTOTAL(109,Tableau1354[Prospection])</f>
        <v>840</v>
      </c>
      <c r="N40" s="7">
        <f>SUBTOTAL(109,Tableau1354[Commerciaux])</f>
        <v>600</v>
      </c>
      <c r="O40" s="7">
        <f>SUBTOTAL(109,Tableau1354[Livraison])</f>
        <v>0</v>
      </c>
      <c r="P40" s="7">
        <f>SUBTOTAL(109,Tableau13455[Coûts de commercialisation et distribution])</f>
        <v>2130</v>
      </c>
      <c r="Q40" s="7">
        <f>SUBTOTAL(109,Tableau13455[services généraux])</f>
        <v>0</v>
      </c>
      <c r="R40" s="7">
        <f>SUBTOTAL(109,Tableau13455[frais divers])</f>
        <v>0</v>
      </c>
      <c r="S40" s="7">
        <f>SUBTOTAL(109,Tableau13455[impôts])</f>
        <v>0</v>
      </c>
      <c r="T40" s="7">
        <f>SUBTOTAL(109,Tableau134556[Coûts administratifs])</f>
        <v>0</v>
      </c>
      <c r="U40" s="7">
        <f>SUBTOTAL(109,Tableau134556[Coût de revient unitaire])</f>
        <v>2730</v>
      </c>
      <c r="V40" s="7">
        <f>SUBTOTAL(109,Tableau13455657[[Marge nette sur prestation ]])</f>
        <v>-30</v>
      </c>
      <c r="W40" s="10"/>
      <c r="X40" s="10"/>
    </row>
  </sheetData>
  <sheetProtection password="B9A0" sheet="1" objects="1" scenarios="1"/>
  <dataConsolidate/>
  <mergeCells count="4">
    <mergeCell ref="B1:C1"/>
    <mergeCell ref="D1:K1"/>
    <mergeCell ref="V1:X1"/>
    <mergeCell ref="L1:T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IF(Tableau17[[#This Row],[Libellé de la prestation de services]]="","",SUM(Tableau17[[#This Row],[Matières premières]:[Frais de livraison liés aux achats]]))</f>
        <v/>
      </c>
      <c r="I3" s="63"/>
      <c r="J3" s="63"/>
      <c r="K3" s="6" t="str">
        <f>IF(Tableau17[[#This Row],[Libellé de la prestation de services]]="","",SUM(Tableau17[[#This Row],[Mains d’œuvre avec charges sociales et patronales,]:[Charges locatives]]))</f>
        <v/>
      </c>
      <c r="L3" s="64"/>
      <c r="M3" s="64"/>
      <c r="N3" s="64"/>
      <c r="O3" s="64"/>
      <c r="P3" s="6" t="str">
        <f>IF(Tableau17[[#This Row],[Libellé de la prestation de services]]="","",SUM(Tableau13548[[#This Row],[Marketing]:[Livraison]]))</f>
        <v/>
      </c>
      <c r="Q3" s="63"/>
      <c r="R3" s="63"/>
      <c r="S3" s="63"/>
      <c r="T3" s="6" t="str">
        <f>IF(Tableau17[[#This Row],[Libellé de la prestation de services]]="","",SUM(Tableau134559[[#This Row],[services généraux]:[impôts]]))</f>
        <v/>
      </c>
      <c r="U3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" s="10" t="str">
        <f>IF(Tableau17[[#This Row],[Montant HT]]="","",Tableau1345565711[[#This Row],[Marge nette sur prestation ]]/Tableau13455610[[#This Row],[Coût de revient unitaire]])</f>
        <v/>
      </c>
      <c r="X3" s="10" t="str">
        <f>IF(Tableau17[[#This Row],[Montant HT]]="","",Tableau1345565711[[#This Row],[Marge nette sur prestation ]]/Tableau17[[#This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IF(Tableau17[[#This Row],[Libellé de la prestation de services]]="","",SUM(Tableau17[[#This Row],[Matières premières]:[Frais de livraison liés aux achats]]))</f>
        <v/>
      </c>
      <c r="I4" s="63"/>
      <c r="J4" s="63"/>
      <c r="K4" s="6" t="str">
        <f>IF(Tableau17[[#This Row],[Libellé de la prestation de services]]="","",SUM(Tableau17[[#This Row],[Mains d’œuvre avec charges sociales et patronales,]:[Charges locatives]]))</f>
        <v/>
      </c>
      <c r="L4" s="64"/>
      <c r="M4" s="64"/>
      <c r="N4" s="64"/>
      <c r="O4" s="64"/>
      <c r="P4" s="6" t="str">
        <f>IF(Tableau17[[#This Row],[Libellé de la prestation de services]]="","",SUM(Tableau13548[[#This Row],[Marketing]:[Livraison]]))</f>
        <v/>
      </c>
      <c r="Q4" s="63"/>
      <c r="R4" s="63"/>
      <c r="S4" s="63"/>
      <c r="T4" s="6" t="str">
        <f>IF(Tableau17[[#This Row],[Libellé de la prestation de services]]="","",SUM(Tableau134559[[#This Row],[services généraux]:[impôts]]))</f>
        <v/>
      </c>
      <c r="U4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4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4" s="10" t="str">
        <f>IF(Tableau17[[#This Row],[Montant HT]]="","",Tableau1345565711[[#This Row],[Marge nette sur prestation ]]/Tableau13455610[[#This Row],[Coût de revient unitaire]])</f>
        <v/>
      </c>
      <c r="X4" s="10" t="str">
        <f>IF(Tableau17[[#This Row],[Montant HT]]="","",Tableau1345565711[[#This Row],[Marge nette sur prestation ]]/Tableau17[[#This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IF(Tableau17[[#This Row],[Libellé de la prestation de services]]="","",SUM(Tableau17[[#This Row],[Matières premières]:[Frais de livraison liés aux achats]]))</f>
        <v/>
      </c>
      <c r="I5" s="63"/>
      <c r="J5" s="63"/>
      <c r="K5" s="6" t="str">
        <f>IF(Tableau17[[#This Row],[Libellé de la prestation de services]]="","",SUM(Tableau17[[#This Row],[Mains d’œuvre avec charges sociales et patronales,]:[Charges locatives]]))</f>
        <v/>
      </c>
      <c r="L5" s="64"/>
      <c r="M5" s="64"/>
      <c r="N5" s="64"/>
      <c r="O5" s="64"/>
      <c r="P5" s="6" t="str">
        <f>IF(Tableau17[[#This Row],[Libellé de la prestation de services]]="","",SUM(Tableau13548[[#This Row],[Marketing]:[Livraison]]))</f>
        <v/>
      </c>
      <c r="Q5" s="63"/>
      <c r="R5" s="63"/>
      <c r="S5" s="63"/>
      <c r="T5" s="6" t="str">
        <f>IF(Tableau17[[#This Row],[Libellé de la prestation de services]]="","",SUM(Tableau134559[[#This Row],[services généraux]:[impôts]]))</f>
        <v/>
      </c>
      <c r="U5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5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5" s="10" t="str">
        <f>IF(Tableau17[[#This Row],[Montant HT]]="","",Tableau1345565711[[#This Row],[Marge nette sur prestation ]]/Tableau13455610[[#This Row],[Coût de revient unitaire]])</f>
        <v/>
      </c>
      <c r="X5" s="10" t="str">
        <f>IF(Tableau17[[#This Row],[Montant HT]]="","",Tableau1345565711[[#This Row],[Marge nette sur prestation ]]/Tableau17[[#This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IF(Tableau17[[#This Row],[Libellé de la prestation de services]]="","",SUM(Tableau17[[#This Row],[Matières premières]:[Frais de livraison liés aux achats]]))</f>
        <v/>
      </c>
      <c r="I6" s="63"/>
      <c r="J6" s="63"/>
      <c r="K6" s="6" t="str">
        <f>IF(Tableau17[[#This Row],[Libellé de la prestation de services]]="","",SUM(Tableau17[[#This Row],[Mains d’œuvre avec charges sociales et patronales,]:[Charges locatives]]))</f>
        <v/>
      </c>
      <c r="L6" s="64"/>
      <c r="M6" s="64"/>
      <c r="N6" s="64"/>
      <c r="O6" s="64"/>
      <c r="P6" s="6" t="str">
        <f>IF(Tableau17[[#This Row],[Libellé de la prestation de services]]="","",SUM(Tableau13548[[#This Row],[Marketing]:[Livraison]]))</f>
        <v/>
      </c>
      <c r="Q6" s="63"/>
      <c r="R6" s="63"/>
      <c r="S6" s="63"/>
      <c r="T6" s="6" t="str">
        <f>IF(Tableau17[[#This Row],[Libellé de la prestation de services]]="","",SUM(Tableau134559[[#This Row],[services généraux]:[impôts]]))</f>
        <v/>
      </c>
      <c r="U6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6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6" s="10" t="str">
        <f>IF(Tableau17[[#This Row],[Montant HT]]="","",Tableau1345565711[[#This Row],[Marge nette sur prestation ]]/Tableau13455610[[#This Row],[Coût de revient unitaire]])</f>
        <v/>
      </c>
      <c r="X6" s="10" t="str">
        <f>IF(Tableau17[[#This Row],[Montant HT]]="","",Tableau1345565711[[#This Row],[Marge nette sur prestation ]]/Tableau17[[#This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IF(Tableau17[[#This Row],[Libellé de la prestation de services]]="","",SUM(Tableau17[[#This Row],[Matières premières]:[Frais de livraison liés aux achats]]))</f>
        <v/>
      </c>
      <c r="I7" s="63"/>
      <c r="J7" s="63"/>
      <c r="K7" s="6" t="str">
        <f>IF(Tableau17[[#This Row],[Libellé de la prestation de services]]="","",SUM(Tableau17[[#This Row],[Mains d’œuvre avec charges sociales et patronales,]:[Charges locatives]]))</f>
        <v/>
      </c>
      <c r="L7" s="64"/>
      <c r="M7" s="64"/>
      <c r="N7" s="64"/>
      <c r="O7" s="64"/>
      <c r="P7" s="6" t="str">
        <f>IF(Tableau17[[#This Row],[Libellé de la prestation de services]]="","",SUM(Tableau13548[[#This Row],[Marketing]:[Livraison]]))</f>
        <v/>
      </c>
      <c r="Q7" s="63"/>
      <c r="R7" s="63"/>
      <c r="S7" s="63"/>
      <c r="T7" s="6" t="str">
        <f>IF(Tableau17[[#This Row],[Libellé de la prestation de services]]="","",SUM(Tableau134559[[#This Row],[services généraux]:[impôts]]))</f>
        <v/>
      </c>
      <c r="U7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7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7" s="10" t="str">
        <f>IF(Tableau17[[#This Row],[Montant HT]]="","",Tableau1345565711[[#This Row],[Marge nette sur prestation ]]/Tableau13455610[[#This Row],[Coût de revient unitaire]])</f>
        <v/>
      </c>
      <c r="X7" s="10" t="str">
        <f>IF(Tableau17[[#This Row],[Montant HT]]="","",Tableau1345565711[[#This Row],[Marge nette sur prestation ]]/Tableau17[[#This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IF(Tableau17[[#This Row],[Libellé de la prestation de services]]="","",SUM(Tableau17[[#This Row],[Matières premières]:[Frais de livraison liés aux achats]]))</f>
        <v/>
      </c>
      <c r="I8" s="63"/>
      <c r="J8" s="63"/>
      <c r="K8" s="6" t="str">
        <f>IF(Tableau17[[#This Row],[Libellé de la prestation de services]]="","",SUM(Tableau17[[#This Row],[Mains d’œuvre avec charges sociales et patronales,]:[Charges locatives]]))</f>
        <v/>
      </c>
      <c r="L8" s="64"/>
      <c r="M8" s="64"/>
      <c r="N8" s="64"/>
      <c r="O8" s="64"/>
      <c r="P8" s="6" t="str">
        <f>IF(Tableau17[[#This Row],[Libellé de la prestation de services]]="","",SUM(Tableau13548[[#This Row],[Marketing]:[Livraison]]))</f>
        <v/>
      </c>
      <c r="Q8" s="63"/>
      <c r="R8" s="63"/>
      <c r="S8" s="63"/>
      <c r="T8" s="6" t="str">
        <f>IF(Tableau17[[#This Row],[Libellé de la prestation de services]]="","",SUM(Tableau134559[[#This Row],[services généraux]:[impôts]]))</f>
        <v/>
      </c>
      <c r="U8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8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8" s="10" t="str">
        <f>IF(Tableau17[[#This Row],[Montant HT]]="","",Tableau1345565711[[#This Row],[Marge nette sur prestation ]]/Tableau13455610[[#This Row],[Coût de revient unitaire]])</f>
        <v/>
      </c>
      <c r="X8" s="10" t="str">
        <f>IF(Tableau17[[#This Row],[Montant HT]]="","",Tableau1345565711[[#This Row],[Marge nette sur prestation ]]/Tableau17[[#This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IF(Tableau17[[#This Row],[Libellé de la prestation de services]]="","",SUM(Tableau17[[#This Row],[Matières premières]:[Frais de livraison liés aux achats]]))</f>
        <v/>
      </c>
      <c r="I9" s="63"/>
      <c r="J9" s="63"/>
      <c r="K9" s="6" t="str">
        <f>IF(Tableau17[[#This Row],[Libellé de la prestation de services]]="","",SUM(Tableau17[[#This Row],[Mains d’œuvre avec charges sociales et patronales,]:[Charges locatives]]))</f>
        <v/>
      </c>
      <c r="L9" s="64"/>
      <c r="M9" s="64"/>
      <c r="N9" s="64"/>
      <c r="O9" s="64"/>
      <c r="P9" s="6" t="str">
        <f>IF(Tableau17[[#This Row],[Libellé de la prestation de services]]="","",SUM(Tableau13548[[#This Row],[Marketing]:[Livraison]]))</f>
        <v/>
      </c>
      <c r="Q9" s="63"/>
      <c r="R9" s="63"/>
      <c r="S9" s="63"/>
      <c r="T9" s="6" t="str">
        <f>IF(Tableau17[[#This Row],[Libellé de la prestation de services]]="","",SUM(Tableau134559[[#This Row],[services généraux]:[impôts]]))</f>
        <v/>
      </c>
      <c r="U9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9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9" s="10" t="str">
        <f>IF(Tableau17[[#This Row],[Montant HT]]="","",Tableau1345565711[[#This Row],[Marge nette sur prestation ]]/Tableau13455610[[#This Row],[Coût de revient unitaire]])</f>
        <v/>
      </c>
      <c r="X9" s="10" t="str">
        <f>IF(Tableau17[[#This Row],[Montant HT]]="","",Tableau1345565711[[#This Row],[Marge nette sur prestation ]]/Tableau17[[#This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IF(Tableau17[[#This Row],[Libellé de la prestation de services]]="","",SUM(Tableau17[[#This Row],[Matières premières]:[Frais de livraison liés aux achats]]))</f>
        <v/>
      </c>
      <c r="I10" s="63"/>
      <c r="J10" s="63"/>
      <c r="K10" s="6" t="str">
        <f>IF(Tableau17[[#This Row],[Libellé de la prestation de services]]="","",SUM(Tableau17[[#This Row],[Mains d’œuvre avec charges sociales et patronales,]:[Charges locatives]]))</f>
        <v/>
      </c>
      <c r="L10" s="64"/>
      <c r="M10" s="64"/>
      <c r="N10" s="64"/>
      <c r="O10" s="64"/>
      <c r="P10" s="6" t="str">
        <f>IF(Tableau17[[#This Row],[Libellé de la prestation de services]]="","",SUM(Tableau13548[[#This Row],[Marketing]:[Livraison]]))</f>
        <v/>
      </c>
      <c r="Q10" s="63"/>
      <c r="R10" s="63"/>
      <c r="S10" s="63"/>
      <c r="T10" s="6" t="str">
        <f>IF(Tableau17[[#This Row],[Libellé de la prestation de services]]="","",SUM(Tableau134559[[#This Row],[services généraux]:[impôts]]))</f>
        <v/>
      </c>
      <c r="U10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0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0" s="10" t="str">
        <f>IF(Tableau17[[#This Row],[Montant HT]]="","",Tableau1345565711[[#This Row],[Marge nette sur prestation ]]/Tableau13455610[[#This Row],[Coût de revient unitaire]])</f>
        <v/>
      </c>
      <c r="X10" s="10" t="str">
        <f>IF(Tableau17[[#This Row],[Montant HT]]="","",Tableau1345565711[[#This Row],[Marge nette sur prestation ]]/Tableau17[[#This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IF(Tableau17[[#This Row],[Libellé de la prestation de services]]="","",SUM(Tableau17[[#This Row],[Matières premières]:[Frais de livraison liés aux achats]]))</f>
        <v/>
      </c>
      <c r="I11" s="63"/>
      <c r="J11" s="63"/>
      <c r="K11" s="6" t="str">
        <f>IF(Tableau17[[#This Row],[Libellé de la prestation de services]]="","",SUM(Tableau17[[#This Row],[Mains d’œuvre avec charges sociales et patronales,]:[Charges locatives]]))</f>
        <v/>
      </c>
      <c r="L11" s="64"/>
      <c r="M11" s="64"/>
      <c r="N11" s="64"/>
      <c r="O11" s="64"/>
      <c r="P11" s="6" t="str">
        <f>IF(Tableau17[[#This Row],[Libellé de la prestation de services]]="","",SUM(Tableau13548[[#This Row],[Marketing]:[Livraison]]))</f>
        <v/>
      </c>
      <c r="Q11" s="63"/>
      <c r="R11" s="63"/>
      <c r="S11" s="63"/>
      <c r="T11" s="6" t="str">
        <f>IF(Tableau17[[#This Row],[Libellé de la prestation de services]]="","",SUM(Tableau134559[[#This Row],[services généraux]:[impôts]]))</f>
        <v/>
      </c>
      <c r="U11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1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1" s="10" t="str">
        <f>IF(Tableau17[[#This Row],[Montant HT]]="","",Tableau1345565711[[#This Row],[Marge nette sur prestation ]]/Tableau13455610[[#This Row],[Coût de revient unitaire]])</f>
        <v/>
      </c>
      <c r="X11" s="10" t="str">
        <f>IF(Tableau17[[#This Row],[Montant HT]]="","",Tableau1345565711[[#This Row],[Marge nette sur prestation ]]/Tableau17[[#This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IF(Tableau17[[#This Row],[Libellé de la prestation de services]]="","",SUM(Tableau17[[#This Row],[Matières premières]:[Frais de livraison liés aux achats]]))</f>
        <v/>
      </c>
      <c r="I12" s="63"/>
      <c r="J12" s="63"/>
      <c r="K12" s="6" t="str">
        <f>IF(Tableau17[[#This Row],[Libellé de la prestation de services]]="","",SUM(Tableau17[[#This Row],[Mains d’œuvre avec charges sociales et patronales,]:[Charges locatives]]))</f>
        <v/>
      </c>
      <c r="L12" s="64"/>
      <c r="M12" s="64"/>
      <c r="N12" s="64"/>
      <c r="O12" s="64"/>
      <c r="P12" s="6" t="str">
        <f>IF(Tableau17[[#This Row],[Libellé de la prestation de services]]="","",SUM(Tableau13548[[#This Row],[Marketing]:[Livraison]]))</f>
        <v/>
      </c>
      <c r="Q12" s="63"/>
      <c r="R12" s="63"/>
      <c r="S12" s="63"/>
      <c r="T12" s="6" t="str">
        <f>IF(Tableau17[[#This Row],[Libellé de la prestation de services]]="","",SUM(Tableau134559[[#This Row],[services généraux]:[impôts]]))</f>
        <v/>
      </c>
      <c r="U12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2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2" s="10" t="str">
        <f>IF(Tableau17[[#This Row],[Montant HT]]="","",Tableau1345565711[[#This Row],[Marge nette sur prestation ]]/Tableau13455610[[#This Row],[Coût de revient unitaire]])</f>
        <v/>
      </c>
      <c r="X12" s="10" t="str">
        <f>IF(Tableau17[[#This Row],[Montant HT]]="","",Tableau1345565711[[#This Row],[Marge nette sur prestation ]]/Tableau17[[#This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IF(Tableau17[[#This Row],[Libellé de la prestation de services]]="","",SUM(Tableau17[[#This Row],[Matières premières]:[Frais de livraison liés aux achats]]))</f>
        <v/>
      </c>
      <c r="I13" s="63"/>
      <c r="J13" s="63"/>
      <c r="K13" s="6" t="str">
        <f>IF(Tableau17[[#This Row],[Libellé de la prestation de services]]="","",SUM(Tableau17[[#This Row],[Mains d’œuvre avec charges sociales et patronales,]:[Charges locatives]]))</f>
        <v/>
      </c>
      <c r="L13" s="64"/>
      <c r="M13" s="64"/>
      <c r="N13" s="64"/>
      <c r="O13" s="64"/>
      <c r="P13" s="6" t="str">
        <f>IF(Tableau17[[#This Row],[Libellé de la prestation de services]]="","",SUM(Tableau13548[[#This Row],[Marketing]:[Livraison]]))</f>
        <v/>
      </c>
      <c r="Q13" s="63"/>
      <c r="R13" s="63"/>
      <c r="S13" s="63"/>
      <c r="T13" s="6" t="str">
        <f>IF(Tableau17[[#This Row],[Libellé de la prestation de services]]="","",SUM(Tableau134559[[#This Row],[services généraux]:[impôts]]))</f>
        <v/>
      </c>
      <c r="U13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3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3" s="10" t="str">
        <f>IF(Tableau17[[#This Row],[Montant HT]]="","",Tableau1345565711[[#This Row],[Marge nette sur prestation ]]/Tableau13455610[[#This Row],[Coût de revient unitaire]])</f>
        <v/>
      </c>
      <c r="X13" s="10" t="str">
        <f>IF(Tableau17[[#This Row],[Montant HT]]="","",Tableau1345565711[[#This Row],[Marge nette sur prestation ]]/Tableau17[[#This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IF(Tableau17[[#This Row],[Libellé de la prestation de services]]="","",SUM(Tableau17[[#This Row],[Matières premières]:[Frais de livraison liés aux achats]]))</f>
        <v/>
      </c>
      <c r="I14" s="63"/>
      <c r="J14" s="63"/>
      <c r="K14" s="6" t="str">
        <f>IF(Tableau17[[#This Row],[Libellé de la prestation de services]]="","",SUM(Tableau17[[#This Row],[Mains d’œuvre avec charges sociales et patronales,]:[Charges locatives]]))</f>
        <v/>
      </c>
      <c r="L14" s="64"/>
      <c r="M14" s="64"/>
      <c r="N14" s="64"/>
      <c r="O14" s="64"/>
      <c r="P14" s="6" t="str">
        <f>IF(Tableau17[[#This Row],[Libellé de la prestation de services]]="","",SUM(Tableau13548[[#This Row],[Marketing]:[Livraison]]))</f>
        <v/>
      </c>
      <c r="Q14" s="63"/>
      <c r="R14" s="63"/>
      <c r="S14" s="63"/>
      <c r="T14" s="6" t="str">
        <f>IF(Tableau17[[#This Row],[Libellé de la prestation de services]]="","",SUM(Tableau134559[[#This Row],[services généraux]:[impôts]]))</f>
        <v/>
      </c>
      <c r="U14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4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4" s="10" t="str">
        <f>IF(Tableau17[[#This Row],[Montant HT]]="","",Tableau1345565711[[#This Row],[Marge nette sur prestation ]]/Tableau13455610[[#This Row],[Coût de revient unitaire]])</f>
        <v/>
      </c>
      <c r="X14" s="10" t="str">
        <f>IF(Tableau17[[#This Row],[Montant HT]]="","",Tableau1345565711[[#This Row],[Marge nette sur prestation ]]/Tableau17[[#This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IF(Tableau17[[#This Row],[Libellé de la prestation de services]]="","",SUM(Tableau17[[#This Row],[Matières premières]:[Frais de livraison liés aux achats]]))</f>
        <v/>
      </c>
      <c r="I15" s="63"/>
      <c r="J15" s="63"/>
      <c r="K15" s="6" t="str">
        <f>IF(Tableau17[[#This Row],[Libellé de la prestation de services]]="","",SUM(Tableau17[[#This Row],[Mains d’œuvre avec charges sociales et patronales,]:[Charges locatives]]))</f>
        <v/>
      </c>
      <c r="L15" s="64"/>
      <c r="M15" s="64"/>
      <c r="N15" s="64"/>
      <c r="O15" s="64"/>
      <c r="P15" s="6" t="str">
        <f>IF(Tableau17[[#This Row],[Libellé de la prestation de services]]="","",SUM(Tableau13548[[#This Row],[Marketing]:[Livraison]]))</f>
        <v/>
      </c>
      <c r="Q15" s="63"/>
      <c r="R15" s="63"/>
      <c r="S15" s="63"/>
      <c r="T15" s="6" t="str">
        <f>IF(Tableau17[[#This Row],[Libellé de la prestation de services]]="","",SUM(Tableau134559[[#This Row],[services généraux]:[impôts]]))</f>
        <v/>
      </c>
      <c r="U15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5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5" s="10" t="str">
        <f>IF(Tableau17[[#This Row],[Montant HT]]="","",Tableau1345565711[[#This Row],[Marge nette sur prestation ]]/Tableau13455610[[#This Row],[Coût de revient unitaire]])</f>
        <v/>
      </c>
      <c r="X15" s="10" t="str">
        <f>IF(Tableau17[[#This Row],[Montant HT]]="","",Tableau1345565711[[#This Row],[Marge nette sur prestation ]]/Tableau17[[#This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IF(Tableau17[[#This Row],[Libellé de la prestation de services]]="","",SUM(Tableau17[[#This Row],[Matières premières]:[Frais de livraison liés aux achats]]))</f>
        <v/>
      </c>
      <c r="I16" s="63"/>
      <c r="J16" s="63"/>
      <c r="K16" s="6" t="str">
        <f>IF(Tableau17[[#This Row],[Libellé de la prestation de services]]="","",SUM(Tableau17[[#This Row],[Mains d’œuvre avec charges sociales et patronales,]:[Charges locatives]]))</f>
        <v/>
      </c>
      <c r="L16" s="64"/>
      <c r="M16" s="64"/>
      <c r="N16" s="64"/>
      <c r="O16" s="64"/>
      <c r="P16" s="6" t="str">
        <f>IF(Tableau17[[#This Row],[Libellé de la prestation de services]]="","",SUM(Tableau13548[[#This Row],[Marketing]:[Livraison]]))</f>
        <v/>
      </c>
      <c r="Q16" s="63"/>
      <c r="R16" s="63"/>
      <c r="S16" s="63"/>
      <c r="T16" s="6" t="str">
        <f>IF(Tableau17[[#This Row],[Libellé de la prestation de services]]="","",SUM(Tableau134559[[#This Row],[services généraux]:[impôts]]))</f>
        <v/>
      </c>
      <c r="U16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6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6" s="10" t="str">
        <f>IF(Tableau17[[#This Row],[Montant HT]]="","",Tableau1345565711[[#This Row],[Marge nette sur prestation ]]/Tableau13455610[[#This Row],[Coût de revient unitaire]])</f>
        <v/>
      </c>
      <c r="X16" s="10" t="str">
        <f>IF(Tableau17[[#This Row],[Montant HT]]="","",Tableau1345565711[[#This Row],[Marge nette sur prestation ]]/Tableau17[[#This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IF(Tableau17[[#This Row],[Libellé de la prestation de services]]="","",SUM(Tableau17[[#This Row],[Matières premières]:[Frais de livraison liés aux achats]]))</f>
        <v/>
      </c>
      <c r="I17" s="63"/>
      <c r="J17" s="63"/>
      <c r="K17" s="6" t="str">
        <f>IF(Tableau17[[#This Row],[Libellé de la prestation de services]]="","",SUM(Tableau17[[#This Row],[Mains d’œuvre avec charges sociales et patronales,]:[Charges locatives]]))</f>
        <v/>
      </c>
      <c r="L17" s="64"/>
      <c r="M17" s="64"/>
      <c r="N17" s="64"/>
      <c r="O17" s="64"/>
      <c r="P17" s="6" t="str">
        <f>IF(Tableau17[[#This Row],[Libellé de la prestation de services]]="","",SUM(Tableau13548[[#This Row],[Marketing]:[Livraison]]))</f>
        <v/>
      </c>
      <c r="Q17" s="63"/>
      <c r="R17" s="63"/>
      <c r="S17" s="63"/>
      <c r="T17" s="6" t="str">
        <f>IF(Tableau17[[#This Row],[Libellé de la prestation de services]]="","",SUM(Tableau134559[[#This Row],[services généraux]:[impôts]]))</f>
        <v/>
      </c>
      <c r="U17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7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7" s="10" t="str">
        <f>IF(Tableau17[[#This Row],[Montant HT]]="","",Tableau1345565711[[#This Row],[Marge nette sur prestation ]]/Tableau13455610[[#This Row],[Coût de revient unitaire]])</f>
        <v/>
      </c>
      <c r="X17" s="10" t="str">
        <f>IF(Tableau17[[#This Row],[Montant HT]]="","",Tableau1345565711[[#This Row],[Marge nette sur prestation ]]/Tableau17[[#This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IF(Tableau17[[#This Row],[Libellé de la prestation de services]]="","",SUM(Tableau17[[#This Row],[Matières premières]:[Frais de livraison liés aux achats]]))</f>
        <v/>
      </c>
      <c r="I18" s="63"/>
      <c r="J18" s="63"/>
      <c r="K18" s="6" t="str">
        <f>IF(Tableau17[[#This Row],[Libellé de la prestation de services]]="","",SUM(Tableau17[[#This Row],[Mains d’œuvre avec charges sociales et patronales,]:[Charges locatives]]))</f>
        <v/>
      </c>
      <c r="L18" s="64"/>
      <c r="M18" s="64"/>
      <c r="N18" s="64"/>
      <c r="O18" s="64"/>
      <c r="P18" s="6" t="str">
        <f>IF(Tableau17[[#This Row],[Libellé de la prestation de services]]="","",SUM(Tableau13548[[#This Row],[Marketing]:[Livraison]]))</f>
        <v/>
      </c>
      <c r="Q18" s="63"/>
      <c r="R18" s="63"/>
      <c r="S18" s="63"/>
      <c r="T18" s="6" t="str">
        <f>IF(Tableau17[[#This Row],[Libellé de la prestation de services]]="","",SUM(Tableau134559[[#This Row],[services généraux]:[impôts]]))</f>
        <v/>
      </c>
      <c r="U18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8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8" s="10" t="str">
        <f>IF(Tableau17[[#This Row],[Montant HT]]="","",Tableau1345565711[[#This Row],[Marge nette sur prestation ]]/Tableau13455610[[#This Row],[Coût de revient unitaire]])</f>
        <v/>
      </c>
      <c r="X18" s="10" t="str">
        <f>IF(Tableau17[[#This Row],[Montant HT]]="","",Tableau1345565711[[#This Row],[Marge nette sur prestation ]]/Tableau17[[#This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IF(Tableau17[[#This Row],[Libellé de la prestation de services]]="","",SUM(Tableau17[[#This Row],[Matières premières]:[Frais de livraison liés aux achats]]))</f>
        <v/>
      </c>
      <c r="I19" s="63"/>
      <c r="J19" s="63"/>
      <c r="K19" s="6" t="str">
        <f>IF(Tableau17[[#This Row],[Libellé de la prestation de services]]="","",SUM(Tableau17[[#This Row],[Mains d’œuvre avec charges sociales et patronales,]:[Charges locatives]]))</f>
        <v/>
      </c>
      <c r="L19" s="64"/>
      <c r="M19" s="64"/>
      <c r="N19" s="64"/>
      <c r="O19" s="64"/>
      <c r="P19" s="6" t="str">
        <f>IF(Tableau17[[#This Row],[Libellé de la prestation de services]]="","",SUM(Tableau13548[[#This Row],[Marketing]:[Livraison]]))</f>
        <v/>
      </c>
      <c r="Q19" s="63"/>
      <c r="R19" s="63"/>
      <c r="S19" s="63"/>
      <c r="T19" s="6" t="str">
        <f>IF(Tableau17[[#This Row],[Libellé de la prestation de services]]="","",SUM(Tableau134559[[#This Row],[services généraux]:[impôts]]))</f>
        <v/>
      </c>
      <c r="U19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19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19" s="10" t="str">
        <f>IF(Tableau17[[#This Row],[Montant HT]]="","",Tableau1345565711[[#This Row],[Marge nette sur prestation ]]/Tableau13455610[[#This Row],[Coût de revient unitaire]])</f>
        <v/>
      </c>
      <c r="X19" s="10" t="str">
        <f>IF(Tableau17[[#This Row],[Montant HT]]="","",Tableau1345565711[[#This Row],[Marge nette sur prestation ]]/Tableau17[[#This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IF(Tableau17[[#This Row],[Libellé de la prestation de services]]="","",SUM(Tableau17[[#This Row],[Matières premières]:[Frais de livraison liés aux achats]]))</f>
        <v/>
      </c>
      <c r="I20" s="63"/>
      <c r="J20" s="63"/>
      <c r="K20" s="6" t="str">
        <f>IF(Tableau17[[#This Row],[Libellé de la prestation de services]]="","",SUM(Tableau17[[#This Row],[Mains d’œuvre avec charges sociales et patronales,]:[Charges locatives]]))</f>
        <v/>
      </c>
      <c r="L20" s="64"/>
      <c r="M20" s="64"/>
      <c r="N20" s="64"/>
      <c r="O20" s="64"/>
      <c r="P20" s="6" t="str">
        <f>IF(Tableau17[[#This Row],[Libellé de la prestation de services]]="","",SUM(Tableau13548[[#This Row],[Marketing]:[Livraison]]))</f>
        <v/>
      </c>
      <c r="Q20" s="63"/>
      <c r="R20" s="63"/>
      <c r="S20" s="63"/>
      <c r="T20" s="6" t="str">
        <f>IF(Tableau17[[#This Row],[Libellé de la prestation de services]]="","",SUM(Tableau134559[[#This Row],[services généraux]:[impôts]]))</f>
        <v/>
      </c>
      <c r="U20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0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0" s="10" t="str">
        <f>IF(Tableau17[[#This Row],[Montant HT]]="","",Tableau1345565711[[#This Row],[Marge nette sur prestation ]]/Tableau13455610[[#This Row],[Coût de revient unitaire]])</f>
        <v/>
      </c>
      <c r="X20" s="10" t="str">
        <f>IF(Tableau17[[#This Row],[Montant HT]]="","",Tableau1345565711[[#This Row],[Marge nette sur prestation ]]/Tableau17[[#This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IF(Tableau17[[#This Row],[Libellé de la prestation de services]]="","",SUM(Tableau17[[#This Row],[Matières premières]:[Frais de livraison liés aux achats]]))</f>
        <v/>
      </c>
      <c r="I21" s="63"/>
      <c r="J21" s="63"/>
      <c r="K21" s="6" t="str">
        <f>IF(Tableau17[[#This Row],[Libellé de la prestation de services]]="","",SUM(Tableau17[[#This Row],[Mains d’œuvre avec charges sociales et patronales,]:[Charges locatives]]))</f>
        <v/>
      </c>
      <c r="L21" s="64"/>
      <c r="M21" s="64"/>
      <c r="N21" s="64"/>
      <c r="O21" s="64"/>
      <c r="P21" s="6" t="str">
        <f>IF(Tableau17[[#This Row],[Libellé de la prestation de services]]="","",SUM(Tableau13548[[#This Row],[Marketing]:[Livraison]]))</f>
        <v/>
      </c>
      <c r="Q21" s="63"/>
      <c r="R21" s="63"/>
      <c r="S21" s="63"/>
      <c r="T21" s="6" t="str">
        <f>IF(Tableau17[[#This Row],[Libellé de la prestation de services]]="","",SUM(Tableau134559[[#This Row],[services généraux]:[impôts]]))</f>
        <v/>
      </c>
      <c r="U21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1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1" s="10" t="str">
        <f>IF(Tableau17[[#This Row],[Montant HT]]="","",Tableau1345565711[[#This Row],[Marge nette sur prestation ]]/Tableau13455610[[#This Row],[Coût de revient unitaire]])</f>
        <v/>
      </c>
      <c r="X21" s="10" t="str">
        <f>IF(Tableau17[[#This Row],[Montant HT]]="","",Tableau1345565711[[#This Row],[Marge nette sur prestation ]]/Tableau17[[#This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IF(Tableau17[[#This Row],[Libellé de la prestation de services]]="","",SUM(Tableau17[[#This Row],[Matières premières]:[Frais de livraison liés aux achats]]))</f>
        <v/>
      </c>
      <c r="I22" s="63"/>
      <c r="J22" s="63"/>
      <c r="K22" s="6" t="str">
        <f>IF(Tableau17[[#This Row],[Libellé de la prestation de services]]="","",SUM(Tableau17[[#This Row],[Mains d’œuvre avec charges sociales et patronales,]:[Charges locatives]]))</f>
        <v/>
      </c>
      <c r="L22" s="64"/>
      <c r="M22" s="64"/>
      <c r="N22" s="64"/>
      <c r="O22" s="64"/>
      <c r="P22" s="6" t="str">
        <f>IF(Tableau17[[#This Row],[Libellé de la prestation de services]]="","",SUM(Tableau13548[[#This Row],[Marketing]:[Livraison]]))</f>
        <v/>
      </c>
      <c r="Q22" s="63"/>
      <c r="R22" s="63"/>
      <c r="S22" s="63"/>
      <c r="T22" s="6" t="str">
        <f>IF(Tableau17[[#This Row],[Libellé de la prestation de services]]="","",SUM(Tableau134559[[#This Row],[services généraux]:[impôts]]))</f>
        <v/>
      </c>
      <c r="U22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2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2" s="10" t="str">
        <f>IF(Tableau17[[#This Row],[Montant HT]]="","",Tableau1345565711[[#This Row],[Marge nette sur prestation ]]/Tableau13455610[[#This Row],[Coût de revient unitaire]])</f>
        <v/>
      </c>
      <c r="X22" s="10" t="str">
        <f>IF(Tableau17[[#This Row],[Montant HT]]="","",Tableau1345565711[[#This Row],[Marge nette sur prestation ]]/Tableau17[[#This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IF(Tableau17[[#This Row],[Libellé de la prestation de services]]="","",SUM(Tableau17[[#This Row],[Matières premières]:[Frais de livraison liés aux achats]]))</f>
        <v/>
      </c>
      <c r="I23" s="63"/>
      <c r="J23" s="63"/>
      <c r="K23" s="6" t="str">
        <f>IF(Tableau17[[#This Row],[Libellé de la prestation de services]]="","",SUM(Tableau17[[#This Row],[Mains d’œuvre avec charges sociales et patronales,]:[Charges locatives]]))</f>
        <v/>
      </c>
      <c r="L23" s="64"/>
      <c r="M23" s="64"/>
      <c r="N23" s="64"/>
      <c r="O23" s="64"/>
      <c r="P23" s="6" t="str">
        <f>IF(Tableau17[[#This Row],[Libellé de la prestation de services]]="","",SUM(Tableau13548[[#This Row],[Marketing]:[Livraison]]))</f>
        <v/>
      </c>
      <c r="Q23" s="63"/>
      <c r="R23" s="63"/>
      <c r="S23" s="63"/>
      <c r="T23" s="6" t="str">
        <f>IF(Tableau17[[#This Row],[Libellé de la prestation de services]]="","",SUM(Tableau134559[[#This Row],[services généraux]:[impôts]]))</f>
        <v/>
      </c>
      <c r="U23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3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3" s="10" t="str">
        <f>IF(Tableau17[[#This Row],[Montant HT]]="","",Tableau1345565711[[#This Row],[Marge nette sur prestation ]]/Tableau13455610[[#This Row],[Coût de revient unitaire]])</f>
        <v/>
      </c>
      <c r="X23" s="10" t="str">
        <f>IF(Tableau17[[#This Row],[Montant HT]]="","",Tableau1345565711[[#This Row],[Marge nette sur prestation ]]/Tableau17[[#This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IF(Tableau17[[#This Row],[Libellé de la prestation de services]]="","",SUM(Tableau17[[#This Row],[Matières premières]:[Frais de livraison liés aux achats]]))</f>
        <v/>
      </c>
      <c r="I24" s="63"/>
      <c r="J24" s="63"/>
      <c r="K24" s="6" t="str">
        <f>IF(Tableau17[[#This Row],[Libellé de la prestation de services]]="","",SUM(Tableau17[[#This Row],[Mains d’œuvre avec charges sociales et patronales,]:[Charges locatives]]))</f>
        <v/>
      </c>
      <c r="L24" s="64"/>
      <c r="M24" s="64"/>
      <c r="N24" s="64"/>
      <c r="O24" s="64"/>
      <c r="P24" s="6" t="str">
        <f>IF(Tableau17[[#This Row],[Libellé de la prestation de services]]="","",SUM(Tableau13548[[#This Row],[Marketing]:[Livraison]]))</f>
        <v/>
      </c>
      <c r="Q24" s="63"/>
      <c r="R24" s="63"/>
      <c r="S24" s="63"/>
      <c r="T24" s="6" t="str">
        <f>IF(Tableau17[[#This Row],[Libellé de la prestation de services]]="","",SUM(Tableau134559[[#This Row],[services généraux]:[impôts]]))</f>
        <v/>
      </c>
      <c r="U24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4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4" s="10" t="str">
        <f>IF(Tableau17[[#This Row],[Montant HT]]="","",Tableau1345565711[[#This Row],[Marge nette sur prestation ]]/Tableau13455610[[#This Row],[Coût de revient unitaire]])</f>
        <v/>
      </c>
      <c r="X24" s="10" t="str">
        <f>IF(Tableau17[[#This Row],[Montant HT]]="","",Tableau1345565711[[#This Row],[Marge nette sur prestation ]]/Tableau17[[#This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IF(Tableau17[[#This Row],[Libellé de la prestation de services]]="","",SUM(Tableau17[[#This Row],[Matières premières]:[Frais de livraison liés aux achats]]))</f>
        <v/>
      </c>
      <c r="I25" s="63"/>
      <c r="J25" s="63"/>
      <c r="K25" s="6" t="str">
        <f>IF(Tableau17[[#This Row],[Libellé de la prestation de services]]="","",SUM(Tableau17[[#This Row],[Mains d’œuvre avec charges sociales et patronales,]:[Charges locatives]]))</f>
        <v/>
      </c>
      <c r="L25" s="64"/>
      <c r="M25" s="64"/>
      <c r="N25" s="64"/>
      <c r="O25" s="64"/>
      <c r="P25" s="6" t="str">
        <f>IF(Tableau17[[#This Row],[Libellé de la prestation de services]]="","",SUM(Tableau13548[[#This Row],[Marketing]:[Livraison]]))</f>
        <v/>
      </c>
      <c r="Q25" s="63"/>
      <c r="R25" s="63"/>
      <c r="S25" s="63"/>
      <c r="T25" s="6" t="str">
        <f>IF(Tableau17[[#This Row],[Libellé de la prestation de services]]="","",SUM(Tableau134559[[#This Row],[services généraux]:[impôts]]))</f>
        <v/>
      </c>
      <c r="U25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5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5" s="10" t="str">
        <f>IF(Tableau17[[#This Row],[Montant HT]]="","",Tableau1345565711[[#This Row],[Marge nette sur prestation ]]/Tableau13455610[[#This Row],[Coût de revient unitaire]])</f>
        <v/>
      </c>
      <c r="X25" s="10" t="str">
        <f>IF(Tableau17[[#This Row],[Montant HT]]="","",Tableau1345565711[[#This Row],[Marge nette sur prestation ]]/Tableau17[[#This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IF(Tableau17[[#This Row],[Libellé de la prestation de services]]="","",SUM(Tableau17[[#This Row],[Matières premières]:[Frais de livraison liés aux achats]]))</f>
        <v/>
      </c>
      <c r="I26" s="63"/>
      <c r="J26" s="63"/>
      <c r="K26" s="6" t="str">
        <f>IF(Tableau17[[#This Row],[Libellé de la prestation de services]]="","",SUM(Tableau17[[#This Row],[Mains d’œuvre avec charges sociales et patronales,]:[Charges locatives]]))</f>
        <v/>
      </c>
      <c r="L26" s="64"/>
      <c r="M26" s="64"/>
      <c r="N26" s="64"/>
      <c r="O26" s="64"/>
      <c r="P26" s="6" t="str">
        <f>IF(Tableau17[[#This Row],[Libellé de la prestation de services]]="","",SUM(Tableau13548[[#This Row],[Marketing]:[Livraison]]))</f>
        <v/>
      </c>
      <c r="Q26" s="63"/>
      <c r="R26" s="63"/>
      <c r="S26" s="63"/>
      <c r="T26" s="6" t="str">
        <f>IF(Tableau17[[#This Row],[Libellé de la prestation de services]]="","",SUM(Tableau134559[[#This Row],[services généraux]:[impôts]]))</f>
        <v/>
      </c>
      <c r="U26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6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6" s="10" t="str">
        <f>IF(Tableau17[[#This Row],[Montant HT]]="","",Tableau1345565711[[#This Row],[Marge nette sur prestation ]]/Tableau13455610[[#This Row],[Coût de revient unitaire]])</f>
        <v/>
      </c>
      <c r="X26" s="10" t="str">
        <f>IF(Tableau17[[#This Row],[Montant HT]]="","",Tableau1345565711[[#This Row],[Marge nette sur prestation ]]/Tableau17[[#This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IF(Tableau17[[#This Row],[Libellé de la prestation de services]]="","",SUM(Tableau17[[#This Row],[Matières premières]:[Frais de livraison liés aux achats]]))</f>
        <v/>
      </c>
      <c r="I27" s="63"/>
      <c r="J27" s="63"/>
      <c r="K27" s="6" t="str">
        <f>IF(Tableau17[[#This Row],[Libellé de la prestation de services]]="","",SUM(Tableau17[[#This Row],[Mains d’œuvre avec charges sociales et patronales,]:[Charges locatives]]))</f>
        <v/>
      </c>
      <c r="L27" s="64"/>
      <c r="M27" s="64"/>
      <c r="N27" s="64"/>
      <c r="O27" s="64"/>
      <c r="P27" s="6" t="str">
        <f>IF(Tableau17[[#This Row],[Libellé de la prestation de services]]="","",SUM(Tableau13548[[#This Row],[Marketing]:[Livraison]]))</f>
        <v/>
      </c>
      <c r="Q27" s="63"/>
      <c r="R27" s="63"/>
      <c r="S27" s="63"/>
      <c r="T27" s="6" t="str">
        <f>IF(Tableau17[[#This Row],[Libellé de la prestation de services]]="","",SUM(Tableau134559[[#This Row],[services généraux]:[impôts]]))</f>
        <v/>
      </c>
      <c r="U27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7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7" s="10" t="str">
        <f>IF(Tableau17[[#This Row],[Montant HT]]="","",Tableau1345565711[[#This Row],[Marge nette sur prestation ]]/Tableau13455610[[#This Row],[Coût de revient unitaire]])</f>
        <v/>
      </c>
      <c r="X27" s="10" t="str">
        <f>IF(Tableau17[[#This Row],[Montant HT]]="","",Tableau1345565711[[#This Row],[Marge nette sur prestation ]]/Tableau17[[#This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IF(Tableau17[[#This Row],[Libellé de la prestation de services]]="","",SUM(Tableau17[[#This Row],[Matières premières]:[Frais de livraison liés aux achats]]))</f>
        <v/>
      </c>
      <c r="I28" s="63"/>
      <c r="J28" s="63"/>
      <c r="K28" s="6" t="str">
        <f>IF(Tableau17[[#This Row],[Libellé de la prestation de services]]="","",SUM(Tableau17[[#This Row],[Mains d’œuvre avec charges sociales et patronales,]:[Charges locatives]]))</f>
        <v/>
      </c>
      <c r="L28" s="64"/>
      <c r="M28" s="64"/>
      <c r="N28" s="64"/>
      <c r="O28" s="64"/>
      <c r="P28" s="6" t="str">
        <f>IF(Tableau17[[#This Row],[Libellé de la prestation de services]]="","",SUM(Tableau13548[[#This Row],[Marketing]:[Livraison]]))</f>
        <v/>
      </c>
      <c r="Q28" s="63"/>
      <c r="R28" s="63"/>
      <c r="S28" s="63"/>
      <c r="T28" s="6" t="str">
        <f>IF(Tableau17[[#This Row],[Libellé de la prestation de services]]="","",SUM(Tableau134559[[#This Row],[services généraux]:[impôts]]))</f>
        <v/>
      </c>
      <c r="U28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8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8" s="10" t="str">
        <f>IF(Tableau17[[#This Row],[Montant HT]]="","",Tableau1345565711[[#This Row],[Marge nette sur prestation ]]/Tableau13455610[[#This Row],[Coût de revient unitaire]])</f>
        <v/>
      </c>
      <c r="X28" s="10" t="str">
        <f>IF(Tableau17[[#This Row],[Montant HT]]="","",Tableau1345565711[[#This Row],[Marge nette sur prestation ]]/Tableau17[[#This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IF(Tableau17[[#This Row],[Libellé de la prestation de services]]="","",SUM(Tableau17[[#This Row],[Matières premières]:[Frais de livraison liés aux achats]]))</f>
        <v/>
      </c>
      <c r="I29" s="63"/>
      <c r="J29" s="63"/>
      <c r="K29" s="6" t="str">
        <f>IF(Tableau17[[#This Row],[Libellé de la prestation de services]]="","",SUM(Tableau17[[#This Row],[Mains d’œuvre avec charges sociales et patronales,]:[Charges locatives]]))</f>
        <v/>
      </c>
      <c r="L29" s="64"/>
      <c r="M29" s="64"/>
      <c r="N29" s="64"/>
      <c r="O29" s="64"/>
      <c r="P29" s="6" t="str">
        <f>IF(Tableau17[[#This Row],[Libellé de la prestation de services]]="","",SUM(Tableau13548[[#This Row],[Marketing]:[Livraison]]))</f>
        <v/>
      </c>
      <c r="Q29" s="63"/>
      <c r="R29" s="63"/>
      <c r="S29" s="63"/>
      <c r="T29" s="6" t="str">
        <f>IF(Tableau17[[#This Row],[Libellé de la prestation de services]]="","",SUM(Tableau134559[[#This Row],[services généraux]:[impôts]]))</f>
        <v/>
      </c>
      <c r="U29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29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29" s="10" t="str">
        <f>IF(Tableau17[[#This Row],[Montant HT]]="","",Tableau1345565711[[#This Row],[Marge nette sur prestation ]]/Tableau13455610[[#This Row],[Coût de revient unitaire]])</f>
        <v/>
      </c>
      <c r="X29" s="10" t="str">
        <f>IF(Tableau17[[#This Row],[Montant HT]]="","",Tableau1345565711[[#This Row],[Marge nette sur prestation ]]/Tableau17[[#This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IF(Tableau17[[#This Row],[Libellé de la prestation de services]]="","",SUM(Tableau17[[#This Row],[Matières premières]:[Frais de livraison liés aux achats]]))</f>
        <v/>
      </c>
      <c r="I30" s="63"/>
      <c r="J30" s="63"/>
      <c r="K30" s="6" t="str">
        <f>IF(Tableau17[[#This Row],[Libellé de la prestation de services]]="","",SUM(Tableau17[[#This Row],[Mains d’œuvre avec charges sociales et patronales,]:[Charges locatives]]))</f>
        <v/>
      </c>
      <c r="L30" s="64"/>
      <c r="M30" s="64"/>
      <c r="N30" s="64"/>
      <c r="O30" s="64"/>
      <c r="P30" s="6" t="str">
        <f>IF(Tableau17[[#This Row],[Libellé de la prestation de services]]="","",SUM(Tableau13548[[#This Row],[Marketing]:[Livraison]]))</f>
        <v/>
      </c>
      <c r="Q30" s="63"/>
      <c r="R30" s="63"/>
      <c r="S30" s="63"/>
      <c r="T30" s="6" t="str">
        <f>IF(Tableau17[[#This Row],[Libellé de la prestation de services]]="","",SUM(Tableau134559[[#This Row],[services généraux]:[impôts]]))</f>
        <v/>
      </c>
      <c r="U30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0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0" s="10" t="str">
        <f>IF(Tableau17[[#This Row],[Montant HT]]="","",Tableau1345565711[[#This Row],[Marge nette sur prestation ]]/Tableau13455610[[#This Row],[Coût de revient unitaire]])</f>
        <v/>
      </c>
      <c r="X30" s="10" t="str">
        <f>IF(Tableau17[[#This Row],[Montant HT]]="","",Tableau1345565711[[#This Row],[Marge nette sur prestation ]]/Tableau17[[#This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IF(Tableau17[[#This Row],[Libellé de la prestation de services]]="","",SUM(Tableau17[[#This Row],[Matières premières]:[Frais de livraison liés aux achats]]))</f>
        <v/>
      </c>
      <c r="I31" s="63"/>
      <c r="J31" s="63"/>
      <c r="K31" s="6" t="str">
        <f>IF(Tableau17[[#This Row],[Libellé de la prestation de services]]="","",SUM(Tableau17[[#This Row],[Mains d’œuvre avec charges sociales et patronales,]:[Charges locatives]]))</f>
        <v/>
      </c>
      <c r="L31" s="64"/>
      <c r="M31" s="64"/>
      <c r="N31" s="64"/>
      <c r="O31" s="64"/>
      <c r="P31" s="6" t="str">
        <f>IF(Tableau17[[#This Row],[Libellé de la prestation de services]]="","",SUM(Tableau13548[[#This Row],[Marketing]:[Livraison]]))</f>
        <v/>
      </c>
      <c r="Q31" s="63"/>
      <c r="R31" s="63"/>
      <c r="S31" s="63"/>
      <c r="T31" s="6" t="str">
        <f>IF(Tableau17[[#This Row],[Libellé de la prestation de services]]="","",SUM(Tableau134559[[#This Row],[services généraux]:[impôts]]))</f>
        <v/>
      </c>
      <c r="U31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1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1" s="10" t="str">
        <f>IF(Tableau17[[#This Row],[Montant HT]]="","",Tableau1345565711[[#This Row],[Marge nette sur prestation ]]/Tableau13455610[[#This Row],[Coût de revient unitaire]])</f>
        <v/>
      </c>
      <c r="X31" s="10" t="str">
        <f>IF(Tableau17[[#This Row],[Montant HT]]="","",Tableau1345565711[[#This Row],[Marge nette sur prestation ]]/Tableau17[[#This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IF(Tableau17[[#This Row],[Libellé de la prestation de services]]="","",SUM(Tableau17[[#This Row],[Matières premières]:[Frais de livraison liés aux achats]]))</f>
        <v/>
      </c>
      <c r="I32" s="63"/>
      <c r="J32" s="63"/>
      <c r="K32" s="6" t="str">
        <f>IF(Tableau17[[#This Row],[Libellé de la prestation de services]]="","",SUM(Tableau17[[#This Row],[Mains d’œuvre avec charges sociales et patronales,]:[Charges locatives]]))</f>
        <v/>
      </c>
      <c r="L32" s="64"/>
      <c r="M32" s="64"/>
      <c r="N32" s="64"/>
      <c r="O32" s="64"/>
      <c r="P32" s="6" t="str">
        <f>IF(Tableau17[[#This Row],[Libellé de la prestation de services]]="","",SUM(Tableau13548[[#This Row],[Marketing]:[Livraison]]))</f>
        <v/>
      </c>
      <c r="Q32" s="63"/>
      <c r="R32" s="63"/>
      <c r="S32" s="63"/>
      <c r="T32" s="6" t="str">
        <f>IF(Tableau17[[#This Row],[Libellé de la prestation de services]]="","",SUM(Tableau134559[[#This Row],[services généraux]:[impôts]]))</f>
        <v/>
      </c>
      <c r="U32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2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2" s="10" t="str">
        <f>IF(Tableau17[[#This Row],[Montant HT]]="","",Tableau1345565711[[#This Row],[Marge nette sur prestation ]]/Tableau13455610[[#This Row],[Coût de revient unitaire]])</f>
        <v/>
      </c>
      <c r="X32" s="10" t="str">
        <f>IF(Tableau17[[#This Row],[Montant HT]]="","",Tableau1345565711[[#This Row],[Marge nette sur prestation ]]/Tableau17[[#This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IF(Tableau17[[#This Row],[Libellé de la prestation de services]]="","",SUM(Tableau17[[#This Row],[Matières premières]:[Frais de livraison liés aux achats]]))</f>
        <v/>
      </c>
      <c r="I33" s="63"/>
      <c r="J33" s="63"/>
      <c r="K33" s="6" t="str">
        <f>IF(Tableau17[[#This Row],[Libellé de la prestation de services]]="","",SUM(Tableau17[[#This Row],[Mains d’œuvre avec charges sociales et patronales,]:[Charges locatives]]))</f>
        <v/>
      </c>
      <c r="L33" s="64"/>
      <c r="M33" s="64"/>
      <c r="N33" s="64"/>
      <c r="O33" s="64"/>
      <c r="P33" s="6" t="str">
        <f>IF(Tableau17[[#This Row],[Libellé de la prestation de services]]="","",SUM(Tableau13548[[#This Row],[Marketing]:[Livraison]]))</f>
        <v/>
      </c>
      <c r="Q33" s="63"/>
      <c r="R33" s="63"/>
      <c r="S33" s="63"/>
      <c r="T33" s="6" t="str">
        <f>IF(Tableau17[[#This Row],[Libellé de la prestation de services]]="","",SUM(Tableau134559[[#This Row],[services généraux]:[impôts]]))</f>
        <v/>
      </c>
      <c r="U33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3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3" s="10" t="str">
        <f>IF(Tableau17[[#This Row],[Montant HT]]="","",Tableau1345565711[[#This Row],[Marge nette sur prestation ]]/Tableau13455610[[#This Row],[Coût de revient unitaire]])</f>
        <v/>
      </c>
      <c r="X33" s="10" t="str">
        <f>IF(Tableau17[[#This Row],[Montant HT]]="","",Tableau1345565711[[#This Row],[Marge nette sur prestation ]]/Tableau17[[#This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IF(Tableau17[[#This Row],[Libellé de la prestation de services]]="","",SUM(Tableau17[[#This Row],[Matières premières]:[Frais de livraison liés aux achats]]))</f>
        <v/>
      </c>
      <c r="I34" s="63"/>
      <c r="J34" s="63"/>
      <c r="K34" s="6" t="str">
        <f>IF(Tableau17[[#This Row],[Libellé de la prestation de services]]="","",SUM(Tableau17[[#This Row],[Mains d’œuvre avec charges sociales et patronales,]:[Charges locatives]]))</f>
        <v/>
      </c>
      <c r="L34" s="64"/>
      <c r="M34" s="64"/>
      <c r="N34" s="64"/>
      <c r="O34" s="64"/>
      <c r="P34" s="6" t="str">
        <f>IF(Tableau17[[#This Row],[Libellé de la prestation de services]]="","",SUM(Tableau13548[[#This Row],[Marketing]:[Livraison]]))</f>
        <v/>
      </c>
      <c r="Q34" s="63"/>
      <c r="R34" s="63"/>
      <c r="S34" s="63"/>
      <c r="T34" s="6" t="str">
        <f>IF(Tableau17[[#This Row],[Libellé de la prestation de services]]="","",SUM(Tableau134559[[#This Row],[services généraux]:[impôts]]))</f>
        <v/>
      </c>
      <c r="U34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4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4" s="10" t="str">
        <f>IF(Tableau17[[#This Row],[Montant HT]]="","",Tableau1345565711[[#This Row],[Marge nette sur prestation ]]/Tableau13455610[[#This Row],[Coût de revient unitaire]])</f>
        <v/>
      </c>
      <c r="X34" s="10" t="str">
        <f>IF(Tableau17[[#This Row],[Montant HT]]="","",Tableau1345565711[[#This Row],[Marge nette sur prestation ]]/Tableau17[[#This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IF(Tableau17[[#This Row],[Libellé de la prestation de services]]="","",SUM(Tableau17[[#This Row],[Matières premières]:[Frais de livraison liés aux achats]]))</f>
        <v/>
      </c>
      <c r="I35" s="63"/>
      <c r="J35" s="63"/>
      <c r="K35" s="6" t="str">
        <f>IF(Tableau17[[#This Row],[Libellé de la prestation de services]]="","",SUM(Tableau17[[#This Row],[Mains d’œuvre avec charges sociales et patronales,]:[Charges locatives]]))</f>
        <v/>
      </c>
      <c r="L35" s="64"/>
      <c r="M35" s="64"/>
      <c r="N35" s="64"/>
      <c r="O35" s="64"/>
      <c r="P35" s="6" t="str">
        <f>IF(Tableau17[[#This Row],[Libellé de la prestation de services]]="","",SUM(Tableau13548[[#This Row],[Marketing]:[Livraison]]))</f>
        <v/>
      </c>
      <c r="Q35" s="63"/>
      <c r="R35" s="63"/>
      <c r="S35" s="63"/>
      <c r="T35" s="6" t="str">
        <f>IF(Tableau17[[#This Row],[Libellé de la prestation de services]]="","",SUM(Tableau134559[[#This Row],[services généraux]:[impôts]]))</f>
        <v/>
      </c>
      <c r="U35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5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5" s="10" t="str">
        <f>IF(Tableau17[[#This Row],[Montant HT]]="","",Tableau1345565711[[#This Row],[Marge nette sur prestation ]]/Tableau13455610[[#This Row],[Coût de revient unitaire]])</f>
        <v/>
      </c>
      <c r="X35" s="10" t="str">
        <f>IF(Tableau17[[#This Row],[Montant HT]]="","",Tableau1345565711[[#This Row],[Marge nette sur prestation ]]/Tableau17[[#This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IF(Tableau17[[#This Row],[Libellé de la prestation de services]]="","",SUM(Tableau17[[#This Row],[Matières premières]:[Frais de livraison liés aux achats]]))</f>
        <v/>
      </c>
      <c r="I36" s="63"/>
      <c r="J36" s="63"/>
      <c r="K36" s="6" t="str">
        <f>IF(Tableau17[[#This Row],[Libellé de la prestation de services]]="","",SUM(Tableau17[[#This Row],[Mains d’œuvre avec charges sociales et patronales,]:[Charges locatives]]))</f>
        <v/>
      </c>
      <c r="L36" s="64"/>
      <c r="M36" s="64"/>
      <c r="N36" s="64"/>
      <c r="O36" s="64"/>
      <c r="P36" s="6" t="str">
        <f>IF(Tableau17[[#This Row],[Libellé de la prestation de services]]="","",SUM(Tableau13548[[#This Row],[Marketing]:[Livraison]]))</f>
        <v/>
      </c>
      <c r="Q36" s="63"/>
      <c r="R36" s="63"/>
      <c r="S36" s="63"/>
      <c r="T36" s="6" t="str">
        <f>IF(Tableau17[[#This Row],[Libellé de la prestation de services]]="","",SUM(Tableau134559[[#This Row],[services généraux]:[impôts]]))</f>
        <v/>
      </c>
      <c r="U36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6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6" s="10" t="str">
        <f>IF(Tableau17[[#This Row],[Montant HT]]="","",Tableau1345565711[[#This Row],[Marge nette sur prestation ]]/Tableau13455610[[#This Row],[Coût de revient unitaire]])</f>
        <v/>
      </c>
      <c r="X36" s="10" t="str">
        <f>IF(Tableau17[[#This Row],[Montant HT]]="","",Tableau1345565711[[#This Row],[Marge nette sur prestation ]]/Tableau17[[#This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IF(Tableau17[[#This Row],[Libellé de la prestation de services]]="","",SUM(Tableau17[[#This Row],[Matières premières]:[Frais de livraison liés aux achats]]))</f>
        <v/>
      </c>
      <c r="I37" s="63"/>
      <c r="J37" s="63"/>
      <c r="K37" s="6" t="str">
        <f>IF(Tableau17[[#This Row],[Libellé de la prestation de services]]="","",SUM(Tableau17[[#This Row],[Mains d’œuvre avec charges sociales et patronales,]:[Charges locatives]]))</f>
        <v/>
      </c>
      <c r="L37" s="64"/>
      <c r="M37" s="64"/>
      <c r="N37" s="64"/>
      <c r="O37" s="64"/>
      <c r="P37" s="6" t="str">
        <f>IF(Tableau17[[#This Row],[Libellé de la prestation de services]]="","",SUM(Tableau13548[[#This Row],[Marketing]:[Livraison]]))</f>
        <v/>
      </c>
      <c r="Q37" s="63"/>
      <c r="R37" s="63"/>
      <c r="S37" s="63"/>
      <c r="T37" s="6" t="str">
        <f>IF(Tableau17[[#This Row],[Libellé de la prestation de services]]="","",SUM(Tableau134559[[#This Row],[services généraux]:[impôts]]))</f>
        <v/>
      </c>
      <c r="U37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7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7" s="10" t="str">
        <f>IF(Tableau17[[#This Row],[Montant HT]]="","",Tableau1345565711[[#This Row],[Marge nette sur prestation ]]/Tableau13455610[[#This Row],[Coût de revient unitaire]])</f>
        <v/>
      </c>
      <c r="X37" s="10" t="str">
        <f>IF(Tableau17[[#This Row],[Montant HT]]="","",Tableau1345565711[[#This Row],[Marge nette sur prestation ]]/Tableau17[[#This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IF(Tableau17[[#This Row],[Libellé de la prestation de services]]="","",SUM(Tableau17[[#This Row],[Matières premières]:[Frais de livraison liés aux achats]]))</f>
        <v/>
      </c>
      <c r="I38" s="63"/>
      <c r="J38" s="63"/>
      <c r="K38" s="6" t="str">
        <f>IF(Tableau17[[#This Row],[Libellé de la prestation de services]]="","",SUM(Tableau17[[#This Row],[Mains d’œuvre avec charges sociales et patronales,]:[Charges locatives]]))</f>
        <v/>
      </c>
      <c r="L38" s="64"/>
      <c r="M38" s="64"/>
      <c r="N38" s="64"/>
      <c r="O38" s="64"/>
      <c r="P38" s="6" t="str">
        <f>IF(Tableau17[[#This Row],[Libellé de la prestation de services]]="","",SUM(Tableau13548[[#This Row],[Marketing]:[Livraison]]))</f>
        <v/>
      </c>
      <c r="Q38" s="63"/>
      <c r="R38" s="63"/>
      <c r="S38" s="63"/>
      <c r="T38" s="6" t="str">
        <f>IF(Tableau17[[#This Row],[Libellé de la prestation de services]]="","",SUM(Tableau134559[[#This Row],[services généraux]:[impôts]]))</f>
        <v/>
      </c>
      <c r="U38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8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8" s="10" t="str">
        <f>IF(Tableau17[[#This Row],[Montant HT]]="","",Tableau1345565711[[#This Row],[Marge nette sur prestation ]]/Tableau13455610[[#This Row],[Coût de revient unitaire]])</f>
        <v/>
      </c>
      <c r="X38" s="10" t="str">
        <f>IF(Tableau17[[#This Row],[Montant HT]]="","",Tableau1345565711[[#This Row],[Marge nette sur prestation ]]/Tableau17[[#This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IF(Tableau17[[#This Row],[Libellé de la prestation de services]]="","",SUM(Tableau17[[#This Row],[Matières premières]:[Frais de livraison liés aux achats]]))</f>
        <v/>
      </c>
      <c r="I39" s="63"/>
      <c r="J39" s="63"/>
      <c r="K39" s="6" t="str">
        <f>IF(Tableau17[[#This Row],[Libellé de la prestation de services]]="","",SUM(Tableau17[[#This Row],[Mains d’œuvre avec charges sociales et patronales,]:[Charges locatives]]))</f>
        <v/>
      </c>
      <c r="L39" s="64"/>
      <c r="M39" s="64"/>
      <c r="N39" s="64"/>
      <c r="O39" s="64"/>
      <c r="P39" s="6" t="str">
        <f>IF(Tableau17[[#This Row],[Libellé de la prestation de services]]="","",SUM(Tableau13548[[#This Row],[Marketing]:[Livraison]]))</f>
        <v/>
      </c>
      <c r="Q39" s="63"/>
      <c r="R39" s="63"/>
      <c r="S39" s="63"/>
      <c r="T39" s="6" t="str">
        <f>IF(Tableau17[[#This Row],[Libellé de la prestation de services]]="","",SUM(Tableau134559[[#This Row],[services généraux]:[impôts]]))</f>
        <v/>
      </c>
      <c r="U39" s="9" t="str">
        <f>IF(Tableau17[[#This Row],[Libellé de la prestation de services]]="","",Tableau17[[#This Row],[Couts d''achat et d''approvisionnement]]+Tableau13548[[#This Row],[Coûts de production]]+Tableau134559[[#This Row],[Coûts de commercialisation et distribution]]+Tableau13455610[[#This Row],[Coûts administratifs]])</f>
        <v/>
      </c>
      <c r="V39" s="9" t="str">
        <f>IF(Tableau17[[#This Row],[Libellé de la prestation de services]]="","",Tableau17[[#This Row],[Montant HT]]-Tableau13548[[#This Row],[Coûts de production]]-Tableau134559[[#This Row],[Coûts de commercialisation et distribution]]-Tableau13455610[[#This Row],[Coûts administratifs]])</f>
        <v/>
      </c>
      <c r="W39" s="10" t="str">
        <f>IF(Tableau17[[#This Row],[Montant HT]]="","",Tableau1345565711[[#This Row],[Marge nette sur prestation ]]/Tableau13455610[[#This Row],[Coût de revient unitaire]])</f>
        <v/>
      </c>
      <c r="X39" s="10" t="str">
        <f>IF(Tableau17[[#This Row],[Montant HT]]="","",Tableau1345565711[[#This Row],[Marge nette sur prestation ]]/Tableau17[[#This Row],[Montant HT]])</f>
        <v/>
      </c>
    </row>
    <row r="40" spans="1:24" ht="15.75" x14ac:dyDescent="0.25">
      <c r="A40" s="8"/>
      <c r="B40" s="8">
        <f>SUBTOTAL(103,Tableau17[Libellé de la prestation de services])</f>
        <v>0</v>
      </c>
      <c r="C40" s="7">
        <f>SUBTOTAL(109,Tableau17[Montant HT])</f>
        <v>0</v>
      </c>
      <c r="D40" s="7">
        <f>SUBTOTAL(109,Tableau17[Matières premières])</f>
        <v>0</v>
      </c>
      <c r="E40" s="7">
        <f>SUBTOTAL(109,Tableau17[Marchandises])</f>
        <v>0</v>
      </c>
      <c r="F40" s="7">
        <f>SUBTOTAL(109,Tableau17[Consommables])</f>
        <v>0</v>
      </c>
      <c r="G40" s="7">
        <f>SUBTOTAL(109,Tableau17[Frais de livraison liés aux achats])</f>
        <v>0</v>
      </c>
      <c r="H40" s="7">
        <f>SUBTOTAL(109,Tableau17[Couts d''achat et d''approvisionnement])</f>
        <v>0</v>
      </c>
      <c r="I40" s="7">
        <f>SUBTOTAL(109,Tableau17[Mains d’œuvre avec charges sociales et patronales,])</f>
        <v>0</v>
      </c>
      <c r="J40" s="7">
        <f>SUBTOTAL(109,Tableau17[Charges locatives])</f>
        <v>0</v>
      </c>
      <c r="K40" s="7">
        <f>SUBTOTAL(109,Tableau13548[Coûts de production])</f>
        <v>0</v>
      </c>
      <c r="L40" s="7">
        <f>SUBTOTAL(109,Tableau13548[Marketing])</f>
        <v>0</v>
      </c>
      <c r="M40" s="7">
        <f>SUBTOTAL(109,Tableau13548[Prospection])</f>
        <v>0</v>
      </c>
      <c r="N40" s="7">
        <f>SUBTOTAL(109,Tableau13548[Commerciaux])</f>
        <v>0</v>
      </c>
      <c r="O40" s="7">
        <f>SUBTOTAL(109,Tableau13548[Livraison])</f>
        <v>0</v>
      </c>
      <c r="P40" s="7">
        <f>SUBTOTAL(109,Tableau134559[Coûts de commercialisation et distribution])</f>
        <v>0</v>
      </c>
      <c r="Q40" s="7">
        <f>SUBTOTAL(109,Tableau134559[services généraux])</f>
        <v>0</v>
      </c>
      <c r="R40" s="7">
        <f>SUBTOTAL(109,Tableau134559[frais divers])</f>
        <v>0</v>
      </c>
      <c r="S40" s="7">
        <f>SUBTOTAL(109,Tableau134559[impôts])</f>
        <v>0</v>
      </c>
      <c r="T40" s="7">
        <f>SUBTOTAL(109,Tableau13455610[Coûts administratifs])</f>
        <v>0</v>
      </c>
      <c r="U40" s="7">
        <f>SUBTOTAL(109,Tableau13455610[Coût de revient unitaire])</f>
        <v>0</v>
      </c>
      <c r="V40" s="7">
        <f>SUBTOTAL(109,Tableau1345565711[[Marge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IF(Tableau1712[[#This Row],[Libellé de la prestation de services]]="","",SUM(Tableau1712[[#This Row],[Matières premières]:[Frais de livraison liés aux achats]]))</f>
        <v/>
      </c>
      <c r="I3" s="63"/>
      <c r="J3" s="63"/>
      <c r="K3" s="6" t="str">
        <f>IF(Tableau1712[[#This Row],[Libellé de la prestation de services]]="","",SUM(Tableau1712[[#This Row],[Mains d’œuvre avec charges sociales et patronales,]:[Charges locatives]]))</f>
        <v/>
      </c>
      <c r="L3" s="64"/>
      <c r="M3" s="64"/>
      <c r="N3" s="64"/>
      <c r="O3" s="64"/>
      <c r="P3" s="6" t="str">
        <f>IF(Tableau1712[[#This Row],[Libellé de la prestation de services]]="","",SUM(Tableau1354813[[#This Row],[Marketing]:[Livraison]]))</f>
        <v/>
      </c>
      <c r="Q3" s="63"/>
      <c r="R3" s="63"/>
      <c r="S3" s="63"/>
      <c r="T3" s="6" t="str">
        <f>IF(Tableau1712[[#This Row],[Libellé de la prestation de services]]="","",SUM(Tableau13455914[[#This Row],[services généraux]:[impôts]]))</f>
        <v/>
      </c>
      <c r="U3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" s="10" t="str">
        <f>IF(Tableau1712[[#This Row],[Montant HT]]="","",Tableau134556571116[[#This Row],[Marge nette sur prestation ]]/Tableau1345561015[[#This Row],[Coût de revient unitaire]])</f>
        <v/>
      </c>
      <c r="X3" s="10" t="str">
        <f>IF(Tableau1712[[#This Row],[Montant HT]]="","",Tableau134556571116[[#This Row],[Marge nette sur prestation ]]/Tableau1712[[#This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IF(Tableau1712[[#This Row],[Libellé de la prestation de services]]="","",SUM(Tableau1712[[#This Row],[Matières premières]:[Frais de livraison liés aux achats]]))</f>
        <v/>
      </c>
      <c r="I4" s="63"/>
      <c r="J4" s="63"/>
      <c r="K4" s="6" t="str">
        <f>IF(Tableau1712[[#This Row],[Libellé de la prestation de services]]="","",SUM(Tableau1712[[#This Row],[Mains d’œuvre avec charges sociales et patronales,]:[Charges locatives]]))</f>
        <v/>
      </c>
      <c r="L4" s="64"/>
      <c r="M4" s="64"/>
      <c r="N4" s="64"/>
      <c r="O4" s="64"/>
      <c r="P4" s="6" t="str">
        <f>IF(Tableau1712[[#This Row],[Libellé de la prestation de services]]="","",SUM(Tableau1354813[[#This Row],[Marketing]:[Livraison]]))</f>
        <v/>
      </c>
      <c r="Q4" s="63"/>
      <c r="R4" s="63"/>
      <c r="S4" s="63"/>
      <c r="T4" s="6" t="str">
        <f>IF(Tableau1712[[#This Row],[Libellé de la prestation de services]]="","",SUM(Tableau13455914[[#This Row],[services généraux]:[impôts]]))</f>
        <v/>
      </c>
      <c r="U4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4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4" s="10" t="str">
        <f>IF(Tableau1712[[#This Row],[Montant HT]]="","",Tableau134556571116[[#This Row],[Marge nette sur prestation ]]/Tableau1345561015[[#This Row],[Coût de revient unitaire]])</f>
        <v/>
      </c>
      <c r="X4" s="10" t="str">
        <f>IF(Tableau1712[[#This Row],[Montant HT]]="","",Tableau134556571116[[#This Row],[Marge nette sur prestation ]]/Tableau1712[[#This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IF(Tableau1712[[#This Row],[Libellé de la prestation de services]]="","",SUM(Tableau1712[[#This Row],[Matières premières]:[Frais de livraison liés aux achats]]))</f>
        <v/>
      </c>
      <c r="I5" s="63"/>
      <c r="J5" s="63"/>
      <c r="K5" s="6" t="str">
        <f>IF(Tableau1712[[#This Row],[Libellé de la prestation de services]]="","",SUM(Tableau1712[[#This Row],[Mains d’œuvre avec charges sociales et patronales,]:[Charges locatives]]))</f>
        <v/>
      </c>
      <c r="L5" s="64"/>
      <c r="M5" s="64"/>
      <c r="N5" s="64"/>
      <c r="O5" s="64"/>
      <c r="P5" s="6" t="str">
        <f>IF(Tableau1712[[#This Row],[Libellé de la prestation de services]]="","",SUM(Tableau1354813[[#This Row],[Marketing]:[Livraison]]))</f>
        <v/>
      </c>
      <c r="Q5" s="63"/>
      <c r="R5" s="63"/>
      <c r="S5" s="63"/>
      <c r="T5" s="6" t="str">
        <f>IF(Tableau1712[[#This Row],[Libellé de la prestation de services]]="","",SUM(Tableau13455914[[#This Row],[services généraux]:[impôts]]))</f>
        <v/>
      </c>
      <c r="U5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5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5" s="10" t="str">
        <f>IF(Tableau1712[[#This Row],[Montant HT]]="","",Tableau134556571116[[#This Row],[Marge nette sur prestation ]]/Tableau1345561015[[#This Row],[Coût de revient unitaire]])</f>
        <v/>
      </c>
      <c r="X5" s="10" t="str">
        <f>IF(Tableau1712[[#This Row],[Montant HT]]="","",Tableau134556571116[[#This Row],[Marge nette sur prestation ]]/Tableau1712[[#This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IF(Tableau1712[[#This Row],[Libellé de la prestation de services]]="","",SUM(Tableau1712[[#This Row],[Matières premières]:[Frais de livraison liés aux achats]]))</f>
        <v/>
      </c>
      <c r="I6" s="63"/>
      <c r="J6" s="63"/>
      <c r="K6" s="6" t="str">
        <f>IF(Tableau1712[[#This Row],[Libellé de la prestation de services]]="","",SUM(Tableau1712[[#This Row],[Mains d’œuvre avec charges sociales et patronales,]:[Charges locatives]]))</f>
        <v/>
      </c>
      <c r="L6" s="64"/>
      <c r="M6" s="64"/>
      <c r="N6" s="64"/>
      <c r="O6" s="64"/>
      <c r="P6" s="6" t="str">
        <f>IF(Tableau1712[[#This Row],[Libellé de la prestation de services]]="","",SUM(Tableau1354813[[#This Row],[Marketing]:[Livraison]]))</f>
        <v/>
      </c>
      <c r="Q6" s="63"/>
      <c r="R6" s="63"/>
      <c r="S6" s="63"/>
      <c r="T6" s="6" t="str">
        <f>IF(Tableau1712[[#This Row],[Libellé de la prestation de services]]="","",SUM(Tableau13455914[[#This Row],[services généraux]:[impôts]]))</f>
        <v/>
      </c>
      <c r="U6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6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6" s="10" t="str">
        <f>IF(Tableau1712[[#This Row],[Montant HT]]="","",Tableau134556571116[[#This Row],[Marge nette sur prestation ]]/Tableau1345561015[[#This Row],[Coût de revient unitaire]])</f>
        <v/>
      </c>
      <c r="X6" s="10" t="str">
        <f>IF(Tableau1712[[#This Row],[Montant HT]]="","",Tableau134556571116[[#This Row],[Marge nette sur prestation ]]/Tableau1712[[#This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IF(Tableau1712[[#This Row],[Libellé de la prestation de services]]="","",SUM(Tableau1712[[#This Row],[Matières premières]:[Frais de livraison liés aux achats]]))</f>
        <v/>
      </c>
      <c r="I7" s="63"/>
      <c r="J7" s="63"/>
      <c r="K7" s="6" t="str">
        <f>IF(Tableau1712[[#This Row],[Libellé de la prestation de services]]="","",SUM(Tableau1712[[#This Row],[Mains d’œuvre avec charges sociales et patronales,]:[Charges locatives]]))</f>
        <v/>
      </c>
      <c r="L7" s="64"/>
      <c r="M7" s="64"/>
      <c r="N7" s="64"/>
      <c r="O7" s="64"/>
      <c r="P7" s="6" t="str">
        <f>IF(Tableau1712[[#This Row],[Libellé de la prestation de services]]="","",SUM(Tableau1354813[[#This Row],[Marketing]:[Livraison]]))</f>
        <v/>
      </c>
      <c r="Q7" s="63"/>
      <c r="R7" s="63"/>
      <c r="S7" s="63"/>
      <c r="T7" s="6" t="str">
        <f>IF(Tableau1712[[#This Row],[Libellé de la prestation de services]]="","",SUM(Tableau13455914[[#This Row],[services généraux]:[impôts]]))</f>
        <v/>
      </c>
      <c r="U7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7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7" s="10" t="str">
        <f>IF(Tableau1712[[#This Row],[Montant HT]]="","",Tableau134556571116[[#This Row],[Marge nette sur prestation ]]/Tableau1345561015[[#This Row],[Coût de revient unitaire]])</f>
        <v/>
      </c>
      <c r="X7" s="10" t="str">
        <f>IF(Tableau1712[[#This Row],[Montant HT]]="","",Tableau134556571116[[#This Row],[Marge nette sur prestation ]]/Tableau1712[[#This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IF(Tableau1712[[#This Row],[Libellé de la prestation de services]]="","",SUM(Tableau1712[[#This Row],[Matières premières]:[Frais de livraison liés aux achats]]))</f>
        <v/>
      </c>
      <c r="I8" s="63"/>
      <c r="J8" s="63"/>
      <c r="K8" s="6" t="str">
        <f>IF(Tableau1712[[#This Row],[Libellé de la prestation de services]]="","",SUM(Tableau1712[[#This Row],[Mains d’œuvre avec charges sociales et patronales,]:[Charges locatives]]))</f>
        <v/>
      </c>
      <c r="L8" s="64"/>
      <c r="M8" s="64"/>
      <c r="N8" s="64"/>
      <c r="O8" s="64"/>
      <c r="P8" s="6" t="str">
        <f>IF(Tableau1712[[#This Row],[Libellé de la prestation de services]]="","",SUM(Tableau1354813[[#This Row],[Marketing]:[Livraison]]))</f>
        <v/>
      </c>
      <c r="Q8" s="63"/>
      <c r="R8" s="63"/>
      <c r="S8" s="63"/>
      <c r="T8" s="6" t="str">
        <f>IF(Tableau1712[[#This Row],[Libellé de la prestation de services]]="","",SUM(Tableau13455914[[#This Row],[services généraux]:[impôts]]))</f>
        <v/>
      </c>
      <c r="U8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8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8" s="10" t="str">
        <f>IF(Tableau1712[[#This Row],[Montant HT]]="","",Tableau134556571116[[#This Row],[Marge nette sur prestation ]]/Tableau1345561015[[#This Row],[Coût de revient unitaire]])</f>
        <v/>
      </c>
      <c r="X8" s="10" t="str">
        <f>IF(Tableau1712[[#This Row],[Montant HT]]="","",Tableau134556571116[[#This Row],[Marge nette sur prestation ]]/Tableau1712[[#This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IF(Tableau1712[[#This Row],[Libellé de la prestation de services]]="","",SUM(Tableau1712[[#This Row],[Matières premières]:[Frais de livraison liés aux achats]]))</f>
        <v/>
      </c>
      <c r="I9" s="63"/>
      <c r="J9" s="63"/>
      <c r="K9" s="6" t="str">
        <f>IF(Tableau1712[[#This Row],[Libellé de la prestation de services]]="","",SUM(Tableau1712[[#This Row],[Mains d’œuvre avec charges sociales et patronales,]:[Charges locatives]]))</f>
        <v/>
      </c>
      <c r="L9" s="64"/>
      <c r="M9" s="64"/>
      <c r="N9" s="64"/>
      <c r="O9" s="64"/>
      <c r="P9" s="6" t="str">
        <f>IF(Tableau1712[[#This Row],[Libellé de la prestation de services]]="","",SUM(Tableau1354813[[#This Row],[Marketing]:[Livraison]]))</f>
        <v/>
      </c>
      <c r="Q9" s="63"/>
      <c r="R9" s="63"/>
      <c r="S9" s="63"/>
      <c r="T9" s="6" t="str">
        <f>IF(Tableau1712[[#This Row],[Libellé de la prestation de services]]="","",SUM(Tableau13455914[[#This Row],[services généraux]:[impôts]]))</f>
        <v/>
      </c>
      <c r="U9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9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9" s="10" t="str">
        <f>IF(Tableau1712[[#This Row],[Montant HT]]="","",Tableau134556571116[[#This Row],[Marge nette sur prestation ]]/Tableau1345561015[[#This Row],[Coût de revient unitaire]])</f>
        <v/>
      </c>
      <c r="X9" s="10" t="str">
        <f>IF(Tableau1712[[#This Row],[Montant HT]]="","",Tableau134556571116[[#This Row],[Marge nette sur prestation ]]/Tableau1712[[#This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IF(Tableau1712[[#This Row],[Libellé de la prestation de services]]="","",SUM(Tableau1712[[#This Row],[Matières premières]:[Frais de livraison liés aux achats]]))</f>
        <v/>
      </c>
      <c r="I10" s="63"/>
      <c r="J10" s="63"/>
      <c r="K10" s="6" t="str">
        <f>IF(Tableau1712[[#This Row],[Libellé de la prestation de services]]="","",SUM(Tableau1712[[#This Row],[Mains d’œuvre avec charges sociales et patronales,]:[Charges locatives]]))</f>
        <v/>
      </c>
      <c r="L10" s="64"/>
      <c r="M10" s="64"/>
      <c r="N10" s="64"/>
      <c r="O10" s="64"/>
      <c r="P10" s="6" t="str">
        <f>IF(Tableau1712[[#This Row],[Libellé de la prestation de services]]="","",SUM(Tableau1354813[[#This Row],[Marketing]:[Livraison]]))</f>
        <v/>
      </c>
      <c r="Q10" s="63"/>
      <c r="R10" s="63"/>
      <c r="S10" s="63"/>
      <c r="T10" s="6" t="str">
        <f>IF(Tableau1712[[#This Row],[Libellé de la prestation de services]]="","",SUM(Tableau13455914[[#This Row],[services généraux]:[impôts]]))</f>
        <v/>
      </c>
      <c r="U10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0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0" s="10" t="str">
        <f>IF(Tableau1712[[#This Row],[Montant HT]]="","",Tableau134556571116[[#This Row],[Marge nette sur prestation ]]/Tableau1345561015[[#This Row],[Coût de revient unitaire]])</f>
        <v/>
      </c>
      <c r="X10" s="10" t="str">
        <f>IF(Tableau1712[[#This Row],[Montant HT]]="","",Tableau134556571116[[#This Row],[Marge nette sur prestation ]]/Tableau1712[[#This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IF(Tableau1712[[#This Row],[Libellé de la prestation de services]]="","",SUM(Tableau1712[[#This Row],[Matières premières]:[Frais de livraison liés aux achats]]))</f>
        <v/>
      </c>
      <c r="I11" s="63"/>
      <c r="J11" s="63"/>
      <c r="K11" s="6" t="str">
        <f>IF(Tableau1712[[#This Row],[Libellé de la prestation de services]]="","",SUM(Tableau1712[[#This Row],[Mains d’œuvre avec charges sociales et patronales,]:[Charges locatives]]))</f>
        <v/>
      </c>
      <c r="L11" s="64"/>
      <c r="M11" s="64"/>
      <c r="N11" s="64"/>
      <c r="O11" s="64"/>
      <c r="P11" s="6" t="str">
        <f>IF(Tableau1712[[#This Row],[Libellé de la prestation de services]]="","",SUM(Tableau1354813[[#This Row],[Marketing]:[Livraison]]))</f>
        <v/>
      </c>
      <c r="Q11" s="63"/>
      <c r="R11" s="63"/>
      <c r="S11" s="63"/>
      <c r="T11" s="6" t="str">
        <f>IF(Tableau1712[[#This Row],[Libellé de la prestation de services]]="","",SUM(Tableau13455914[[#This Row],[services généraux]:[impôts]]))</f>
        <v/>
      </c>
      <c r="U11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1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1" s="10" t="str">
        <f>IF(Tableau1712[[#This Row],[Montant HT]]="","",Tableau134556571116[[#This Row],[Marge nette sur prestation ]]/Tableau1345561015[[#This Row],[Coût de revient unitaire]])</f>
        <v/>
      </c>
      <c r="X11" s="10" t="str">
        <f>IF(Tableau1712[[#This Row],[Montant HT]]="","",Tableau134556571116[[#This Row],[Marge nette sur prestation ]]/Tableau1712[[#This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IF(Tableau1712[[#This Row],[Libellé de la prestation de services]]="","",SUM(Tableau1712[[#This Row],[Matières premières]:[Frais de livraison liés aux achats]]))</f>
        <v/>
      </c>
      <c r="I12" s="63"/>
      <c r="J12" s="63"/>
      <c r="K12" s="6" t="str">
        <f>IF(Tableau1712[[#This Row],[Libellé de la prestation de services]]="","",SUM(Tableau1712[[#This Row],[Mains d’œuvre avec charges sociales et patronales,]:[Charges locatives]]))</f>
        <v/>
      </c>
      <c r="L12" s="64"/>
      <c r="M12" s="64"/>
      <c r="N12" s="64"/>
      <c r="O12" s="64"/>
      <c r="P12" s="6" t="str">
        <f>IF(Tableau1712[[#This Row],[Libellé de la prestation de services]]="","",SUM(Tableau1354813[[#This Row],[Marketing]:[Livraison]]))</f>
        <v/>
      </c>
      <c r="Q12" s="63"/>
      <c r="R12" s="63"/>
      <c r="S12" s="63"/>
      <c r="T12" s="6" t="str">
        <f>IF(Tableau1712[[#This Row],[Libellé de la prestation de services]]="","",SUM(Tableau13455914[[#This Row],[services généraux]:[impôts]]))</f>
        <v/>
      </c>
      <c r="U12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2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2" s="10" t="str">
        <f>IF(Tableau1712[[#This Row],[Montant HT]]="","",Tableau134556571116[[#This Row],[Marge nette sur prestation ]]/Tableau1345561015[[#This Row],[Coût de revient unitaire]])</f>
        <v/>
      </c>
      <c r="X12" s="10" t="str">
        <f>IF(Tableau1712[[#This Row],[Montant HT]]="","",Tableau134556571116[[#This Row],[Marge nette sur prestation ]]/Tableau1712[[#This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IF(Tableau1712[[#This Row],[Libellé de la prestation de services]]="","",SUM(Tableau1712[[#This Row],[Matières premières]:[Frais de livraison liés aux achats]]))</f>
        <v/>
      </c>
      <c r="I13" s="63"/>
      <c r="J13" s="63"/>
      <c r="K13" s="6" t="str">
        <f>IF(Tableau1712[[#This Row],[Libellé de la prestation de services]]="","",SUM(Tableau1712[[#This Row],[Mains d’œuvre avec charges sociales et patronales,]:[Charges locatives]]))</f>
        <v/>
      </c>
      <c r="L13" s="64"/>
      <c r="M13" s="64"/>
      <c r="N13" s="64"/>
      <c r="O13" s="64"/>
      <c r="P13" s="6" t="str">
        <f>IF(Tableau1712[[#This Row],[Libellé de la prestation de services]]="","",SUM(Tableau1354813[[#This Row],[Marketing]:[Livraison]]))</f>
        <v/>
      </c>
      <c r="Q13" s="63"/>
      <c r="R13" s="63"/>
      <c r="S13" s="63"/>
      <c r="T13" s="6" t="str">
        <f>IF(Tableau1712[[#This Row],[Libellé de la prestation de services]]="","",SUM(Tableau13455914[[#This Row],[services généraux]:[impôts]]))</f>
        <v/>
      </c>
      <c r="U13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3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3" s="10" t="str">
        <f>IF(Tableau1712[[#This Row],[Montant HT]]="","",Tableau134556571116[[#This Row],[Marge nette sur prestation ]]/Tableau1345561015[[#This Row],[Coût de revient unitaire]])</f>
        <v/>
      </c>
      <c r="X13" s="10" t="str">
        <f>IF(Tableau1712[[#This Row],[Montant HT]]="","",Tableau134556571116[[#This Row],[Marge nette sur prestation ]]/Tableau1712[[#This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IF(Tableau1712[[#This Row],[Libellé de la prestation de services]]="","",SUM(Tableau1712[[#This Row],[Matières premières]:[Frais de livraison liés aux achats]]))</f>
        <v/>
      </c>
      <c r="I14" s="63"/>
      <c r="J14" s="63"/>
      <c r="K14" s="6" t="str">
        <f>IF(Tableau1712[[#This Row],[Libellé de la prestation de services]]="","",SUM(Tableau1712[[#This Row],[Mains d’œuvre avec charges sociales et patronales,]:[Charges locatives]]))</f>
        <v/>
      </c>
      <c r="L14" s="64"/>
      <c r="M14" s="64"/>
      <c r="N14" s="64"/>
      <c r="O14" s="64"/>
      <c r="P14" s="6" t="str">
        <f>IF(Tableau1712[[#This Row],[Libellé de la prestation de services]]="","",SUM(Tableau1354813[[#This Row],[Marketing]:[Livraison]]))</f>
        <v/>
      </c>
      <c r="Q14" s="63"/>
      <c r="R14" s="63"/>
      <c r="S14" s="63"/>
      <c r="T14" s="6" t="str">
        <f>IF(Tableau1712[[#This Row],[Libellé de la prestation de services]]="","",SUM(Tableau13455914[[#This Row],[services généraux]:[impôts]]))</f>
        <v/>
      </c>
      <c r="U14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4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4" s="10" t="str">
        <f>IF(Tableau1712[[#This Row],[Montant HT]]="","",Tableau134556571116[[#This Row],[Marge nette sur prestation ]]/Tableau1345561015[[#This Row],[Coût de revient unitaire]])</f>
        <v/>
      </c>
      <c r="X14" s="10" t="str">
        <f>IF(Tableau1712[[#This Row],[Montant HT]]="","",Tableau134556571116[[#This Row],[Marge nette sur prestation ]]/Tableau1712[[#This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IF(Tableau1712[[#This Row],[Libellé de la prestation de services]]="","",SUM(Tableau1712[[#This Row],[Matières premières]:[Frais de livraison liés aux achats]]))</f>
        <v/>
      </c>
      <c r="I15" s="63"/>
      <c r="J15" s="63"/>
      <c r="K15" s="6" t="str">
        <f>IF(Tableau1712[[#This Row],[Libellé de la prestation de services]]="","",SUM(Tableau1712[[#This Row],[Mains d’œuvre avec charges sociales et patronales,]:[Charges locatives]]))</f>
        <v/>
      </c>
      <c r="L15" s="64"/>
      <c r="M15" s="64"/>
      <c r="N15" s="64"/>
      <c r="O15" s="64"/>
      <c r="P15" s="6" t="str">
        <f>IF(Tableau1712[[#This Row],[Libellé de la prestation de services]]="","",SUM(Tableau1354813[[#This Row],[Marketing]:[Livraison]]))</f>
        <v/>
      </c>
      <c r="Q15" s="63"/>
      <c r="R15" s="63"/>
      <c r="S15" s="63"/>
      <c r="T15" s="6" t="str">
        <f>IF(Tableau1712[[#This Row],[Libellé de la prestation de services]]="","",SUM(Tableau13455914[[#This Row],[services généraux]:[impôts]]))</f>
        <v/>
      </c>
      <c r="U15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5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5" s="10" t="str">
        <f>IF(Tableau1712[[#This Row],[Montant HT]]="","",Tableau134556571116[[#This Row],[Marge nette sur prestation ]]/Tableau1345561015[[#This Row],[Coût de revient unitaire]])</f>
        <v/>
      </c>
      <c r="X15" s="10" t="str">
        <f>IF(Tableau1712[[#This Row],[Montant HT]]="","",Tableau134556571116[[#This Row],[Marge nette sur prestation ]]/Tableau1712[[#This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IF(Tableau1712[[#This Row],[Libellé de la prestation de services]]="","",SUM(Tableau1712[[#This Row],[Matières premières]:[Frais de livraison liés aux achats]]))</f>
        <v/>
      </c>
      <c r="I16" s="63"/>
      <c r="J16" s="63"/>
      <c r="K16" s="6" t="str">
        <f>IF(Tableau1712[[#This Row],[Libellé de la prestation de services]]="","",SUM(Tableau1712[[#This Row],[Mains d’œuvre avec charges sociales et patronales,]:[Charges locatives]]))</f>
        <v/>
      </c>
      <c r="L16" s="64"/>
      <c r="M16" s="64"/>
      <c r="N16" s="64"/>
      <c r="O16" s="64"/>
      <c r="P16" s="6" t="str">
        <f>IF(Tableau1712[[#This Row],[Libellé de la prestation de services]]="","",SUM(Tableau1354813[[#This Row],[Marketing]:[Livraison]]))</f>
        <v/>
      </c>
      <c r="Q16" s="63"/>
      <c r="R16" s="63"/>
      <c r="S16" s="63"/>
      <c r="T16" s="6" t="str">
        <f>IF(Tableau1712[[#This Row],[Libellé de la prestation de services]]="","",SUM(Tableau13455914[[#This Row],[services généraux]:[impôts]]))</f>
        <v/>
      </c>
      <c r="U16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6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6" s="10" t="str">
        <f>IF(Tableau1712[[#This Row],[Montant HT]]="","",Tableau134556571116[[#This Row],[Marge nette sur prestation ]]/Tableau1345561015[[#This Row],[Coût de revient unitaire]])</f>
        <v/>
      </c>
      <c r="X16" s="10" t="str">
        <f>IF(Tableau1712[[#This Row],[Montant HT]]="","",Tableau134556571116[[#This Row],[Marge nette sur prestation ]]/Tableau1712[[#This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IF(Tableau1712[[#This Row],[Libellé de la prestation de services]]="","",SUM(Tableau1712[[#This Row],[Matières premières]:[Frais de livraison liés aux achats]]))</f>
        <v/>
      </c>
      <c r="I17" s="63"/>
      <c r="J17" s="63"/>
      <c r="K17" s="6" t="str">
        <f>IF(Tableau1712[[#This Row],[Libellé de la prestation de services]]="","",SUM(Tableau1712[[#This Row],[Mains d’œuvre avec charges sociales et patronales,]:[Charges locatives]]))</f>
        <v/>
      </c>
      <c r="L17" s="64"/>
      <c r="M17" s="64"/>
      <c r="N17" s="64"/>
      <c r="O17" s="64"/>
      <c r="P17" s="6" t="str">
        <f>IF(Tableau1712[[#This Row],[Libellé de la prestation de services]]="","",SUM(Tableau1354813[[#This Row],[Marketing]:[Livraison]]))</f>
        <v/>
      </c>
      <c r="Q17" s="63"/>
      <c r="R17" s="63"/>
      <c r="S17" s="63"/>
      <c r="T17" s="6" t="str">
        <f>IF(Tableau1712[[#This Row],[Libellé de la prestation de services]]="","",SUM(Tableau13455914[[#This Row],[services généraux]:[impôts]]))</f>
        <v/>
      </c>
      <c r="U17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7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7" s="10" t="str">
        <f>IF(Tableau1712[[#This Row],[Montant HT]]="","",Tableau134556571116[[#This Row],[Marge nette sur prestation ]]/Tableau1345561015[[#This Row],[Coût de revient unitaire]])</f>
        <v/>
      </c>
      <c r="X17" s="10" t="str">
        <f>IF(Tableau1712[[#This Row],[Montant HT]]="","",Tableau134556571116[[#This Row],[Marge nette sur prestation ]]/Tableau1712[[#This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IF(Tableau1712[[#This Row],[Libellé de la prestation de services]]="","",SUM(Tableau1712[[#This Row],[Matières premières]:[Frais de livraison liés aux achats]]))</f>
        <v/>
      </c>
      <c r="I18" s="63"/>
      <c r="J18" s="63"/>
      <c r="K18" s="6" t="str">
        <f>IF(Tableau1712[[#This Row],[Libellé de la prestation de services]]="","",SUM(Tableau1712[[#This Row],[Mains d’œuvre avec charges sociales et patronales,]:[Charges locatives]]))</f>
        <v/>
      </c>
      <c r="L18" s="64"/>
      <c r="M18" s="64"/>
      <c r="N18" s="64"/>
      <c r="O18" s="64"/>
      <c r="P18" s="6" t="str">
        <f>IF(Tableau1712[[#This Row],[Libellé de la prestation de services]]="","",SUM(Tableau1354813[[#This Row],[Marketing]:[Livraison]]))</f>
        <v/>
      </c>
      <c r="Q18" s="63"/>
      <c r="R18" s="63"/>
      <c r="S18" s="63"/>
      <c r="T18" s="6" t="str">
        <f>IF(Tableau1712[[#This Row],[Libellé de la prestation de services]]="","",SUM(Tableau13455914[[#This Row],[services généraux]:[impôts]]))</f>
        <v/>
      </c>
      <c r="U18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8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8" s="10" t="str">
        <f>IF(Tableau1712[[#This Row],[Montant HT]]="","",Tableau134556571116[[#This Row],[Marge nette sur prestation ]]/Tableau1345561015[[#This Row],[Coût de revient unitaire]])</f>
        <v/>
      </c>
      <c r="X18" s="10" t="str">
        <f>IF(Tableau1712[[#This Row],[Montant HT]]="","",Tableau134556571116[[#This Row],[Marge nette sur prestation ]]/Tableau1712[[#This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IF(Tableau1712[[#This Row],[Libellé de la prestation de services]]="","",SUM(Tableau1712[[#This Row],[Matières premières]:[Frais de livraison liés aux achats]]))</f>
        <v/>
      </c>
      <c r="I19" s="63"/>
      <c r="J19" s="63"/>
      <c r="K19" s="6" t="str">
        <f>IF(Tableau1712[[#This Row],[Libellé de la prestation de services]]="","",SUM(Tableau1712[[#This Row],[Mains d’œuvre avec charges sociales et patronales,]:[Charges locatives]]))</f>
        <v/>
      </c>
      <c r="L19" s="64"/>
      <c r="M19" s="64"/>
      <c r="N19" s="64"/>
      <c r="O19" s="64"/>
      <c r="P19" s="6" t="str">
        <f>IF(Tableau1712[[#This Row],[Libellé de la prestation de services]]="","",SUM(Tableau1354813[[#This Row],[Marketing]:[Livraison]]))</f>
        <v/>
      </c>
      <c r="Q19" s="63"/>
      <c r="R19" s="63"/>
      <c r="S19" s="63"/>
      <c r="T19" s="6" t="str">
        <f>IF(Tableau1712[[#This Row],[Libellé de la prestation de services]]="","",SUM(Tableau13455914[[#This Row],[services généraux]:[impôts]]))</f>
        <v/>
      </c>
      <c r="U19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19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19" s="10" t="str">
        <f>IF(Tableau1712[[#This Row],[Montant HT]]="","",Tableau134556571116[[#This Row],[Marge nette sur prestation ]]/Tableau1345561015[[#This Row],[Coût de revient unitaire]])</f>
        <v/>
      </c>
      <c r="X19" s="10" t="str">
        <f>IF(Tableau1712[[#This Row],[Montant HT]]="","",Tableau134556571116[[#This Row],[Marge nette sur prestation ]]/Tableau1712[[#This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IF(Tableau1712[[#This Row],[Libellé de la prestation de services]]="","",SUM(Tableau1712[[#This Row],[Matières premières]:[Frais de livraison liés aux achats]]))</f>
        <v/>
      </c>
      <c r="I20" s="63"/>
      <c r="J20" s="63"/>
      <c r="K20" s="6" t="str">
        <f>IF(Tableau1712[[#This Row],[Libellé de la prestation de services]]="","",SUM(Tableau1712[[#This Row],[Mains d’œuvre avec charges sociales et patronales,]:[Charges locatives]]))</f>
        <v/>
      </c>
      <c r="L20" s="64"/>
      <c r="M20" s="64"/>
      <c r="N20" s="64"/>
      <c r="O20" s="64"/>
      <c r="P20" s="6" t="str">
        <f>IF(Tableau1712[[#This Row],[Libellé de la prestation de services]]="","",SUM(Tableau1354813[[#This Row],[Marketing]:[Livraison]]))</f>
        <v/>
      </c>
      <c r="Q20" s="63"/>
      <c r="R20" s="63"/>
      <c r="S20" s="63"/>
      <c r="T20" s="6" t="str">
        <f>IF(Tableau1712[[#This Row],[Libellé de la prestation de services]]="","",SUM(Tableau13455914[[#This Row],[services généraux]:[impôts]]))</f>
        <v/>
      </c>
      <c r="U20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0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0" s="10" t="str">
        <f>IF(Tableau1712[[#This Row],[Montant HT]]="","",Tableau134556571116[[#This Row],[Marge nette sur prestation ]]/Tableau1345561015[[#This Row],[Coût de revient unitaire]])</f>
        <v/>
      </c>
      <c r="X20" s="10" t="str">
        <f>IF(Tableau1712[[#This Row],[Montant HT]]="","",Tableau134556571116[[#This Row],[Marge nette sur prestation ]]/Tableau1712[[#This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IF(Tableau1712[[#This Row],[Libellé de la prestation de services]]="","",SUM(Tableau1712[[#This Row],[Matières premières]:[Frais de livraison liés aux achats]]))</f>
        <v/>
      </c>
      <c r="I21" s="63"/>
      <c r="J21" s="63"/>
      <c r="K21" s="6" t="str">
        <f>IF(Tableau1712[[#This Row],[Libellé de la prestation de services]]="","",SUM(Tableau1712[[#This Row],[Mains d’œuvre avec charges sociales et patronales,]:[Charges locatives]]))</f>
        <v/>
      </c>
      <c r="L21" s="64"/>
      <c r="M21" s="64"/>
      <c r="N21" s="64"/>
      <c r="O21" s="64"/>
      <c r="P21" s="6" t="str">
        <f>IF(Tableau1712[[#This Row],[Libellé de la prestation de services]]="","",SUM(Tableau1354813[[#This Row],[Marketing]:[Livraison]]))</f>
        <v/>
      </c>
      <c r="Q21" s="63"/>
      <c r="R21" s="63"/>
      <c r="S21" s="63"/>
      <c r="T21" s="6" t="str">
        <f>IF(Tableau1712[[#This Row],[Libellé de la prestation de services]]="","",SUM(Tableau13455914[[#This Row],[services généraux]:[impôts]]))</f>
        <v/>
      </c>
      <c r="U21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1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1" s="10" t="str">
        <f>IF(Tableau1712[[#This Row],[Montant HT]]="","",Tableau134556571116[[#This Row],[Marge nette sur prestation ]]/Tableau1345561015[[#This Row],[Coût de revient unitaire]])</f>
        <v/>
      </c>
      <c r="X21" s="10" t="str">
        <f>IF(Tableau1712[[#This Row],[Montant HT]]="","",Tableau134556571116[[#This Row],[Marge nette sur prestation ]]/Tableau1712[[#This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IF(Tableau1712[[#This Row],[Libellé de la prestation de services]]="","",SUM(Tableau1712[[#This Row],[Matières premières]:[Frais de livraison liés aux achats]]))</f>
        <v/>
      </c>
      <c r="I22" s="63"/>
      <c r="J22" s="63"/>
      <c r="K22" s="6" t="str">
        <f>IF(Tableau1712[[#This Row],[Libellé de la prestation de services]]="","",SUM(Tableau1712[[#This Row],[Mains d’œuvre avec charges sociales et patronales,]:[Charges locatives]]))</f>
        <v/>
      </c>
      <c r="L22" s="64"/>
      <c r="M22" s="64"/>
      <c r="N22" s="64"/>
      <c r="O22" s="64"/>
      <c r="P22" s="6" t="str">
        <f>IF(Tableau1712[[#This Row],[Libellé de la prestation de services]]="","",SUM(Tableau1354813[[#This Row],[Marketing]:[Livraison]]))</f>
        <v/>
      </c>
      <c r="Q22" s="63"/>
      <c r="R22" s="63"/>
      <c r="S22" s="63"/>
      <c r="T22" s="6" t="str">
        <f>IF(Tableau1712[[#This Row],[Libellé de la prestation de services]]="","",SUM(Tableau13455914[[#This Row],[services généraux]:[impôts]]))</f>
        <v/>
      </c>
      <c r="U22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2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2" s="10" t="str">
        <f>IF(Tableau1712[[#This Row],[Montant HT]]="","",Tableau134556571116[[#This Row],[Marge nette sur prestation ]]/Tableau1345561015[[#This Row],[Coût de revient unitaire]])</f>
        <v/>
      </c>
      <c r="X22" s="10" t="str">
        <f>IF(Tableau1712[[#This Row],[Montant HT]]="","",Tableau134556571116[[#This Row],[Marge nette sur prestation ]]/Tableau1712[[#This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IF(Tableau1712[[#This Row],[Libellé de la prestation de services]]="","",SUM(Tableau1712[[#This Row],[Matières premières]:[Frais de livraison liés aux achats]]))</f>
        <v/>
      </c>
      <c r="I23" s="63"/>
      <c r="J23" s="63"/>
      <c r="K23" s="6" t="str">
        <f>IF(Tableau1712[[#This Row],[Libellé de la prestation de services]]="","",SUM(Tableau1712[[#This Row],[Mains d’œuvre avec charges sociales et patronales,]:[Charges locatives]]))</f>
        <v/>
      </c>
      <c r="L23" s="64"/>
      <c r="M23" s="64"/>
      <c r="N23" s="64"/>
      <c r="O23" s="64"/>
      <c r="P23" s="6" t="str">
        <f>IF(Tableau1712[[#This Row],[Libellé de la prestation de services]]="","",SUM(Tableau1354813[[#This Row],[Marketing]:[Livraison]]))</f>
        <v/>
      </c>
      <c r="Q23" s="63"/>
      <c r="R23" s="63"/>
      <c r="S23" s="63"/>
      <c r="T23" s="6" t="str">
        <f>IF(Tableau1712[[#This Row],[Libellé de la prestation de services]]="","",SUM(Tableau13455914[[#This Row],[services généraux]:[impôts]]))</f>
        <v/>
      </c>
      <c r="U23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3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3" s="10" t="str">
        <f>IF(Tableau1712[[#This Row],[Montant HT]]="","",Tableau134556571116[[#This Row],[Marge nette sur prestation ]]/Tableau1345561015[[#This Row],[Coût de revient unitaire]])</f>
        <v/>
      </c>
      <c r="X23" s="10" t="str">
        <f>IF(Tableau1712[[#This Row],[Montant HT]]="","",Tableau134556571116[[#This Row],[Marge nette sur prestation ]]/Tableau1712[[#This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IF(Tableau1712[[#This Row],[Libellé de la prestation de services]]="","",SUM(Tableau1712[[#This Row],[Matières premières]:[Frais de livraison liés aux achats]]))</f>
        <v/>
      </c>
      <c r="I24" s="63"/>
      <c r="J24" s="63"/>
      <c r="K24" s="6" t="str">
        <f>IF(Tableau1712[[#This Row],[Libellé de la prestation de services]]="","",SUM(Tableau1712[[#This Row],[Mains d’œuvre avec charges sociales et patronales,]:[Charges locatives]]))</f>
        <v/>
      </c>
      <c r="L24" s="64"/>
      <c r="M24" s="64"/>
      <c r="N24" s="64"/>
      <c r="O24" s="64"/>
      <c r="P24" s="6" t="str">
        <f>IF(Tableau1712[[#This Row],[Libellé de la prestation de services]]="","",SUM(Tableau1354813[[#This Row],[Marketing]:[Livraison]]))</f>
        <v/>
      </c>
      <c r="Q24" s="63"/>
      <c r="R24" s="63"/>
      <c r="S24" s="63"/>
      <c r="T24" s="6" t="str">
        <f>IF(Tableau1712[[#This Row],[Libellé de la prestation de services]]="","",SUM(Tableau13455914[[#This Row],[services généraux]:[impôts]]))</f>
        <v/>
      </c>
      <c r="U24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4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4" s="10" t="str">
        <f>IF(Tableau1712[[#This Row],[Montant HT]]="","",Tableau134556571116[[#This Row],[Marge nette sur prestation ]]/Tableau1345561015[[#This Row],[Coût de revient unitaire]])</f>
        <v/>
      </c>
      <c r="X24" s="10" t="str">
        <f>IF(Tableau1712[[#This Row],[Montant HT]]="","",Tableau134556571116[[#This Row],[Marge nette sur prestation ]]/Tableau1712[[#This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IF(Tableau1712[[#This Row],[Libellé de la prestation de services]]="","",SUM(Tableau1712[[#This Row],[Matières premières]:[Frais de livraison liés aux achats]]))</f>
        <v/>
      </c>
      <c r="I25" s="63"/>
      <c r="J25" s="63"/>
      <c r="K25" s="6" t="str">
        <f>IF(Tableau1712[[#This Row],[Libellé de la prestation de services]]="","",SUM(Tableau1712[[#This Row],[Mains d’œuvre avec charges sociales et patronales,]:[Charges locatives]]))</f>
        <v/>
      </c>
      <c r="L25" s="64"/>
      <c r="M25" s="64"/>
      <c r="N25" s="64"/>
      <c r="O25" s="64"/>
      <c r="P25" s="6" t="str">
        <f>IF(Tableau1712[[#This Row],[Libellé de la prestation de services]]="","",SUM(Tableau1354813[[#This Row],[Marketing]:[Livraison]]))</f>
        <v/>
      </c>
      <c r="Q25" s="63"/>
      <c r="R25" s="63"/>
      <c r="S25" s="63"/>
      <c r="T25" s="6" t="str">
        <f>IF(Tableau1712[[#This Row],[Libellé de la prestation de services]]="","",SUM(Tableau13455914[[#This Row],[services généraux]:[impôts]]))</f>
        <v/>
      </c>
      <c r="U25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5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5" s="10" t="str">
        <f>IF(Tableau1712[[#This Row],[Montant HT]]="","",Tableau134556571116[[#This Row],[Marge nette sur prestation ]]/Tableau1345561015[[#This Row],[Coût de revient unitaire]])</f>
        <v/>
      </c>
      <c r="X25" s="10" t="str">
        <f>IF(Tableau1712[[#This Row],[Montant HT]]="","",Tableau134556571116[[#This Row],[Marge nette sur prestation ]]/Tableau1712[[#This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IF(Tableau1712[[#This Row],[Libellé de la prestation de services]]="","",SUM(Tableau1712[[#This Row],[Matières premières]:[Frais de livraison liés aux achats]]))</f>
        <v/>
      </c>
      <c r="I26" s="63"/>
      <c r="J26" s="63"/>
      <c r="K26" s="6" t="str">
        <f>IF(Tableau1712[[#This Row],[Libellé de la prestation de services]]="","",SUM(Tableau1712[[#This Row],[Mains d’œuvre avec charges sociales et patronales,]:[Charges locatives]]))</f>
        <v/>
      </c>
      <c r="L26" s="64"/>
      <c r="M26" s="64"/>
      <c r="N26" s="64"/>
      <c r="O26" s="64"/>
      <c r="P26" s="6" t="str">
        <f>IF(Tableau1712[[#This Row],[Libellé de la prestation de services]]="","",SUM(Tableau1354813[[#This Row],[Marketing]:[Livraison]]))</f>
        <v/>
      </c>
      <c r="Q26" s="63"/>
      <c r="R26" s="63"/>
      <c r="S26" s="63"/>
      <c r="T26" s="6" t="str">
        <f>IF(Tableau1712[[#This Row],[Libellé de la prestation de services]]="","",SUM(Tableau13455914[[#This Row],[services généraux]:[impôts]]))</f>
        <v/>
      </c>
      <c r="U26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6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6" s="10" t="str">
        <f>IF(Tableau1712[[#This Row],[Montant HT]]="","",Tableau134556571116[[#This Row],[Marge nette sur prestation ]]/Tableau1345561015[[#This Row],[Coût de revient unitaire]])</f>
        <v/>
      </c>
      <c r="X26" s="10" t="str">
        <f>IF(Tableau1712[[#This Row],[Montant HT]]="","",Tableau134556571116[[#This Row],[Marge nette sur prestation ]]/Tableau1712[[#This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IF(Tableau1712[[#This Row],[Libellé de la prestation de services]]="","",SUM(Tableau1712[[#This Row],[Matières premières]:[Frais de livraison liés aux achats]]))</f>
        <v/>
      </c>
      <c r="I27" s="63"/>
      <c r="J27" s="63"/>
      <c r="K27" s="6" t="str">
        <f>IF(Tableau1712[[#This Row],[Libellé de la prestation de services]]="","",SUM(Tableau1712[[#This Row],[Mains d’œuvre avec charges sociales et patronales,]:[Charges locatives]]))</f>
        <v/>
      </c>
      <c r="L27" s="64"/>
      <c r="M27" s="64"/>
      <c r="N27" s="64"/>
      <c r="O27" s="64"/>
      <c r="P27" s="6" t="str">
        <f>IF(Tableau1712[[#This Row],[Libellé de la prestation de services]]="","",SUM(Tableau1354813[[#This Row],[Marketing]:[Livraison]]))</f>
        <v/>
      </c>
      <c r="Q27" s="63"/>
      <c r="R27" s="63"/>
      <c r="S27" s="63"/>
      <c r="T27" s="6" t="str">
        <f>IF(Tableau1712[[#This Row],[Libellé de la prestation de services]]="","",SUM(Tableau13455914[[#This Row],[services généraux]:[impôts]]))</f>
        <v/>
      </c>
      <c r="U27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7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7" s="10" t="str">
        <f>IF(Tableau1712[[#This Row],[Montant HT]]="","",Tableau134556571116[[#This Row],[Marge nette sur prestation ]]/Tableau1345561015[[#This Row],[Coût de revient unitaire]])</f>
        <v/>
      </c>
      <c r="X27" s="10" t="str">
        <f>IF(Tableau1712[[#This Row],[Montant HT]]="","",Tableau134556571116[[#This Row],[Marge nette sur prestation ]]/Tableau1712[[#This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IF(Tableau1712[[#This Row],[Libellé de la prestation de services]]="","",SUM(Tableau1712[[#This Row],[Matières premières]:[Frais de livraison liés aux achats]]))</f>
        <v/>
      </c>
      <c r="I28" s="63"/>
      <c r="J28" s="63"/>
      <c r="K28" s="6" t="str">
        <f>IF(Tableau1712[[#This Row],[Libellé de la prestation de services]]="","",SUM(Tableau1712[[#This Row],[Mains d’œuvre avec charges sociales et patronales,]:[Charges locatives]]))</f>
        <v/>
      </c>
      <c r="L28" s="64"/>
      <c r="M28" s="64"/>
      <c r="N28" s="64"/>
      <c r="O28" s="64"/>
      <c r="P28" s="6" t="str">
        <f>IF(Tableau1712[[#This Row],[Libellé de la prestation de services]]="","",SUM(Tableau1354813[[#This Row],[Marketing]:[Livraison]]))</f>
        <v/>
      </c>
      <c r="Q28" s="63"/>
      <c r="R28" s="63"/>
      <c r="S28" s="63"/>
      <c r="T28" s="6" t="str">
        <f>IF(Tableau1712[[#This Row],[Libellé de la prestation de services]]="","",SUM(Tableau13455914[[#This Row],[services généraux]:[impôts]]))</f>
        <v/>
      </c>
      <c r="U28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8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8" s="10" t="str">
        <f>IF(Tableau1712[[#This Row],[Montant HT]]="","",Tableau134556571116[[#This Row],[Marge nette sur prestation ]]/Tableau1345561015[[#This Row],[Coût de revient unitaire]])</f>
        <v/>
      </c>
      <c r="X28" s="10" t="str">
        <f>IF(Tableau1712[[#This Row],[Montant HT]]="","",Tableau134556571116[[#This Row],[Marge nette sur prestation ]]/Tableau1712[[#This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IF(Tableau1712[[#This Row],[Libellé de la prestation de services]]="","",SUM(Tableau1712[[#This Row],[Matières premières]:[Frais de livraison liés aux achats]]))</f>
        <v/>
      </c>
      <c r="I29" s="63"/>
      <c r="J29" s="63"/>
      <c r="K29" s="6" t="str">
        <f>IF(Tableau1712[[#This Row],[Libellé de la prestation de services]]="","",SUM(Tableau1712[[#This Row],[Mains d’œuvre avec charges sociales et patronales,]:[Charges locatives]]))</f>
        <v/>
      </c>
      <c r="L29" s="64"/>
      <c r="M29" s="64"/>
      <c r="N29" s="64"/>
      <c r="O29" s="64"/>
      <c r="P29" s="6" t="str">
        <f>IF(Tableau1712[[#This Row],[Libellé de la prestation de services]]="","",SUM(Tableau1354813[[#This Row],[Marketing]:[Livraison]]))</f>
        <v/>
      </c>
      <c r="Q29" s="63"/>
      <c r="R29" s="63"/>
      <c r="S29" s="63"/>
      <c r="T29" s="6" t="str">
        <f>IF(Tableau1712[[#This Row],[Libellé de la prestation de services]]="","",SUM(Tableau13455914[[#This Row],[services généraux]:[impôts]]))</f>
        <v/>
      </c>
      <c r="U29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29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29" s="10" t="str">
        <f>IF(Tableau1712[[#This Row],[Montant HT]]="","",Tableau134556571116[[#This Row],[Marge nette sur prestation ]]/Tableau1345561015[[#This Row],[Coût de revient unitaire]])</f>
        <v/>
      </c>
      <c r="X29" s="10" t="str">
        <f>IF(Tableau1712[[#This Row],[Montant HT]]="","",Tableau134556571116[[#This Row],[Marge nette sur prestation ]]/Tableau1712[[#This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IF(Tableau1712[[#This Row],[Libellé de la prestation de services]]="","",SUM(Tableau1712[[#This Row],[Matières premières]:[Frais de livraison liés aux achats]]))</f>
        <v/>
      </c>
      <c r="I30" s="63"/>
      <c r="J30" s="63"/>
      <c r="K30" s="6" t="str">
        <f>IF(Tableau1712[[#This Row],[Libellé de la prestation de services]]="","",SUM(Tableau1712[[#This Row],[Mains d’œuvre avec charges sociales et patronales,]:[Charges locatives]]))</f>
        <v/>
      </c>
      <c r="L30" s="64"/>
      <c r="M30" s="64"/>
      <c r="N30" s="64"/>
      <c r="O30" s="64"/>
      <c r="P30" s="6" t="str">
        <f>IF(Tableau1712[[#This Row],[Libellé de la prestation de services]]="","",SUM(Tableau1354813[[#This Row],[Marketing]:[Livraison]]))</f>
        <v/>
      </c>
      <c r="Q30" s="63"/>
      <c r="R30" s="63"/>
      <c r="S30" s="63"/>
      <c r="T30" s="6" t="str">
        <f>IF(Tableau1712[[#This Row],[Libellé de la prestation de services]]="","",SUM(Tableau13455914[[#This Row],[services généraux]:[impôts]]))</f>
        <v/>
      </c>
      <c r="U30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0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0" s="10" t="str">
        <f>IF(Tableau1712[[#This Row],[Montant HT]]="","",Tableau134556571116[[#This Row],[Marge nette sur prestation ]]/Tableau1345561015[[#This Row],[Coût de revient unitaire]])</f>
        <v/>
      </c>
      <c r="X30" s="10" t="str">
        <f>IF(Tableau1712[[#This Row],[Montant HT]]="","",Tableau134556571116[[#This Row],[Marge nette sur prestation ]]/Tableau1712[[#This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IF(Tableau1712[[#This Row],[Libellé de la prestation de services]]="","",SUM(Tableau1712[[#This Row],[Matières premières]:[Frais de livraison liés aux achats]]))</f>
        <v/>
      </c>
      <c r="I31" s="63"/>
      <c r="J31" s="63"/>
      <c r="K31" s="6" t="str">
        <f>IF(Tableau1712[[#This Row],[Libellé de la prestation de services]]="","",SUM(Tableau1712[[#This Row],[Mains d’œuvre avec charges sociales et patronales,]:[Charges locatives]]))</f>
        <v/>
      </c>
      <c r="L31" s="64"/>
      <c r="M31" s="64"/>
      <c r="N31" s="64"/>
      <c r="O31" s="64"/>
      <c r="P31" s="6" t="str">
        <f>IF(Tableau1712[[#This Row],[Libellé de la prestation de services]]="","",SUM(Tableau1354813[[#This Row],[Marketing]:[Livraison]]))</f>
        <v/>
      </c>
      <c r="Q31" s="63"/>
      <c r="R31" s="63"/>
      <c r="S31" s="63"/>
      <c r="T31" s="6" t="str">
        <f>IF(Tableau1712[[#This Row],[Libellé de la prestation de services]]="","",SUM(Tableau13455914[[#This Row],[services généraux]:[impôts]]))</f>
        <v/>
      </c>
      <c r="U31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1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1" s="10" t="str">
        <f>IF(Tableau1712[[#This Row],[Montant HT]]="","",Tableau134556571116[[#This Row],[Marge nette sur prestation ]]/Tableau1345561015[[#This Row],[Coût de revient unitaire]])</f>
        <v/>
      </c>
      <c r="X31" s="10" t="str">
        <f>IF(Tableau1712[[#This Row],[Montant HT]]="","",Tableau134556571116[[#This Row],[Marge nette sur prestation ]]/Tableau1712[[#This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IF(Tableau1712[[#This Row],[Libellé de la prestation de services]]="","",SUM(Tableau1712[[#This Row],[Matières premières]:[Frais de livraison liés aux achats]]))</f>
        <v/>
      </c>
      <c r="I32" s="63"/>
      <c r="J32" s="63"/>
      <c r="K32" s="6" t="str">
        <f>IF(Tableau1712[[#This Row],[Libellé de la prestation de services]]="","",SUM(Tableau1712[[#This Row],[Mains d’œuvre avec charges sociales et patronales,]:[Charges locatives]]))</f>
        <v/>
      </c>
      <c r="L32" s="64"/>
      <c r="M32" s="64"/>
      <c r="N32" s="64"/>
      <c r="O32" s="64"/>
      <c r="P32" s="6" t="str">
        <f>IF(Tableau1712[[#This Row],[Libellé de la prestation de services]]="","",SUM(Tableau1354813[[#This Row],[Marketing]:[Livraison]]))</f>
        <v/>
      </c>
      <c r="Q32" s="63"/>
      <c r="R32" s="63"/>
      <c r="S32" s="63"/>
      <c r="T32" s="6" t="str">
        <f>IF(Tableau1712[[#This Row],[Libellé de la prestation de services]]="","",SUM(Tableau13455914[[#This Row],[services généraux]:[impôts]]))</f>
        <v/>
      </c>
      <c r="U32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2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2" s="10" t="str">
        <f>IF(Tableau1712[[#This Row],[Montant HT]]="","",Tableau134556571116[[#This Row],[Marge nette sur prestation ]]/Tableau1345561015[[#This Row],[Coût de revient unitaire]])</f>
        <v/>
      </c>
      <c r="X32" s="10" t="str">
        <f>IF(Tableau1712[[#This Row],[Montant HT]]="","",Tableau134556571116[[#This Row],[Marge nette sur prestation ]]/Tableau1712[[#This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IF(Tableau1712[[#This Row],[Libellé de la prestation de services]]="","",SUM(Tableau1712[[#This Row],[Matières premières]:[Frais de livraison liés aux achats]]))</f>
        <v/>
      </c>
      <c r="I33" s="63"/>
      <c r="J33" s="63"/>
      <c r="K33" s="6" t="str">
        <f>IF(Tableau1712[[#This Row],[Libellé de la prestation de services]]="","",SUM(Tableau1712[[#This Row],[Mains d’œuvre avec charges sociales et patronales,]:[Charges locatives]]))</f>
        <v/>
      </c>
      <c r="L33" s="64"/>
      <c r="M33" s="64"/>
      <c r="N33" s="64"/>
      <c r="O33" s="64"/>
      <c r="P33" s="6" t="str">
        <f>IF(Tableau1712[[#This Row],[Libellé de la prestation de services]]="","",SUM(Tableau1354813[[#This Row],[Marketing]:[Livraison]]))</f>
        <v/>
      </c>
      <c r="Q33" s="63"/>
      <c r="R33" s="63"/>
      <c r="S33" s="63"/>
      <c r="T33" s="6" t="str">
        <f>IF(Tableau1712[[#This Row],[Libellé de la prestation de services]]="","",SUM(Tableau13455914[[#This Row],[services généraux]:[impôts]]))</f>
        <v/>
      </c>
      <c r="U33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3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3" s="10" t="str">
        <f>IF(Tableau1712[[#This Row],[Montant HT]]="","",Tableau134556571116[[#This Row],[Marge nette sur prestation ]]/Tableau1345561015[[#This Row],[Coût de revient unitaire]])</f>
        <v/>
      </c>
      <c r="X33" s="10" t="str">
        <f>IF(Tableau1712[[#This Row],[Montant HT]]="","",Tableau134556571116[[#This Row],[Marge nette sur prestation ]]/Tableau1712[[#This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IF(Tableau1712[[#This Row],[Libellé de la prestation de services]]="","",SUM(Tableau1712[[#This Row],[Matières premières]:[Frais de livraison liés aux achats]]))</f>
        <v/>
      </c>
      <c r="I34" s="63"/>
      <c r="J34" s="63"/>
      <c r="K34" s="6" t="str">
        <f>IF(Tableau1712[[#This Row],[Libellé de la prestation de services]]="","",SUM(Tableau1712[[#This Row],[Mains d’œuvre avec charges sociales et patronales,]:[Charges locatives]]))</f>
        <v/>
      </c>
      <c r="L34" s="64"/>
      <c r="M34" s="64"/>
      <c r="N34" s="64"/>
      <c r="O34" s="64"/>
      <c r="P34" s="6" t="str">
        <f>IF(Tableau1712[[#This Row],[Libellé de la prestation de services]]="","",SUM(Tableau1354813[[#This Row],[Marketing]:[Livraison]]))</f>
        <v/>
      </c>
      <c r="Q34" s="63"/>
      <c r="R34" s="63"/>
      <c r="S34" s="63"/>
      <c r="T34" s="6" t="str">
        <f>IF(Tableau1712[[#This Row],[Libellé de la prestation de services]]="","",SUM(Tableau13455914[[#This Row],[services généraux]:[impôts]]))</f>
        <v/>
      </c>
      <c r="U34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4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4" s="10" t="str">
        <f>IF(Tableau1712[[#This Row],[Montant HT]]="","",Tableau134556571116[[#This Row],[Marge nette sur prestation ]]/Tableau1345561015[[#This Row],[Coût de revient unitaire]])</f>
        <v/>
      </c>
      <c r="X34" s="10" t="str">
        <f>IF(Tableau1712[[#This Row],[Montant HT]]="","",Tableau134556571116[[#This Row],[Marge nette sur prestation ]]/Tableau1712[[#This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IF(Tableau1712[[#This Row],[Libellé de la prestation de services]]="","",SUM(Tableau1712[[#This Row],[Matières premières]:[Frais de livraison liés aux achats]]))</f>
        <v/>
      </c>
      <c r="I35" s="63"/>
      <c r="J35" s="63"/>
      <c r="K35" s="6" t="str">
        <f>IF(Tableau1712[[#This Row],[Libellé de la prestation de services]]="","",SUM(Tableau1712[[#This Row],[Mains d’œuvre avec charges sociales et patronales,]:[Charges locatives]]))</f>
        <v/>
      </c>
      <c r="L35" s="64"/>
      <c r="M35" s="64"/>
      <c r="N35" s="64"/>
      <c r="O35" s="64"/>
      <c r="P35" s="6" t="str">
        <f>IF(Tableau1712[[#This Row],[Libellé de la prestation de services]]="","",SUM(Tableau1354813[[#This Row],[Marketing]:[Livraison]]))</f>
        <v/>
      </c>
      <c r="Q35" s="63"/>
      <c r="R35" s="63"/>
      <c r="S35" s="63"/>
      <c r="T35" s="6" t="str">
        <f>IF(Tableau1712[[#This Row],[Libellé de la prestation de services]]="","",SUM(Tableau13455914[[#This Row],[services généraux]:[impôts]]))</f>
        <v/>
      </c>
      <c r="U35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5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5" s="10" t="str">
        <f>IF(Tableau1712[[#This Row],[Montant HT]]="","",Tableau134556571116[[#This Row],[Marge nette sur prestation ]]/Tableau1345561015[[#This Row],[Coût de revient unitaire]])</f>
        <v/>
      </c>
      <c r="X35" s="10" t="str">
        <f>IF(Tableau1712[[#This Row],[Montant HT]]="","",Tableau134556571116[[#This Row],[Marge nette sur prestation ]]/Tableau1712[[#This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IF(Tableau1712[[#This Row],[Libellé de la prestation de services]]="","",SUM(Tableau1712[[#This Row],[Matières premières]:[Frais de livraison liés aux achats]]))</f>
        <v/>
      </c>
      <c r="I36" s="63"/>
      <c r="J36" s="63"/>
      <c r="K36" s="6" t="str">
        <f>IF(Tableau1712[[#This Row],[Libellé de la prestation de services]]="","",SUM(Tableau1712[[#This Row],[Mains d’œuvre avec charges sociales et patronales,]:[Charges locatives]]))</f>
        <v/>
      </c>
      <c r="L36" s="64"/>
      <c r="M36" s="64"/>
      <c r="N36" s="64"/>
      <c r="O36" s="64"/>
      <c r="P36" s="6" t="str">
        <f>IF(Tableau1712[[#This Row],[Libellé de la prestation de services]]="","",SUM(Tableau1354813[[#This Row],[Marketing]:[Livraison]]))</f>
        <v/>
      </c>
      <c r="Q36" s="63"/>
      <c r="R36" s="63"/>
      <c r="S36" s="63"/>
      <c r="T36" s="6" t="str">
        <f>IF(Tableau1712[[#This Row],[Libellé de la prestation de services]]="","",SUM(Tableau13455914[[#This Row],[services généraux]:[impôts]]))</f>
        <v/>
      </c>
      <c r="U36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6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6" s="10" t="str">
        <f>IF(Tableau1712[[#This Row],[Montant HT]]="","",Tableau134556571116[[#This Row],[Marge nette sur prestation ]]/Tableau1345561015[[#This Row],[Coût de revient unitaire]])</f>
        <v/>
      </c>
      <c r="X36" s="10" t="str">
        <f>IF(Tableau1712[[#This Row],[Montant HT]]="","",Tableau134556571116[[#This Row],[Marge nette sur prestation ]]/Tableau1712[[#This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IF(Tableau1712[[#This Row],[Libellé de la prestation de services]]="","",SUM(Tableau1712[[#This Row],[Matières premières]:[Frais de livraison liés aux achats]]))</f>
        <v/>
      </c>
      <c r="I37" s="63"/>
      <c r="J37" s="63"/>
      <c r="K37" s="6" t="str">
        <f>IF(Tableau1712[[#This Row],[Libellé de la prestation de services]]="","",SUM(Tableau1712[[#This Row],[Mains d’œuvre avec charges sociales et patronales,]:[Charges locatives]]))</f>
        <v/>
      </c>
      <c r="L37" s="64"/>
      <c r="M37" s="64"/>
      <c r="N37" s="64"/>
      <c r="O37" s="64"/>
      <c r="P37" s="6" t="str">
        <f>IF(Tableau1712[[#This Row],[Libellé de la prestation de services]]="","",SUM(Tableau1354813[[#This Row],[Marketing]:[Livraison]]))</f>
        <v/>
      </c>
      <c r="Q37" s="63"/>
      <c r="R37" s="63"/>
      <c r="S37" s="63"/>
      <c r="T37" s="6" t="str">
        <f>IF(Tableau1712[[#This Row],[Libellé de la prestation de services]]="","",SUM(Tableau13455914[[#This Row],[services généraux]:[impôts]]))</f>
        <v/>
      </c>
      <c r="U37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7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7" s="10" t="str">
        <f>IF(Tableau1712[[#This Row],[Montant HT]]="","",Tableau134556571116[[#This Row],[Marge nette sur prestation ]]/Tableau1345561015[[#This Row],[Coût de revient unitaire]])</f>
        <v/>
      </c>
      <c r="X37" s="10" t="str">
        <f>IF(Tableau1712[[#This Row],[Montant HT]]="","",Tableau134556571116[[#This Row],[Marge nette sur prestation ]]/Tableau1712[[#This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IF(Tableau1712[[#This Row],[Libellé de la prestation de services]]="","",SUM(Tableau1712[[#This Row],[Matières premières]:[Frais de livraison liés aux achats]]))</f>
        <v/>
      </c>
      <c r="I38" s="63"/>
      <c r="J38" s="63"/>
      <c r="K38" s="6" t="str">
        <f>IF(Tableau1712[[#This Row],[Libellé de la prestation de services]]="","",SUM(Tableau1712[[#This Row],[Mains d’œuvre avec charges sociales et patronales,]:[Charges locatives]]))</f>
        <v/>
      </c>
      <c r="L38" s="64"/>
      <c r="M38" s="64"/>
      <c r="N38" s="64"/>
      <c r="O38" s="64"/>
      <c r="P38" s="6" t="str">
        <f>IF(Tableau1712[[#This Row],[Libellé de la prestation de services]]="","",SUM(Tableau1354813[[#This Row],[Marketing]:[Livraison]]))</f>
        <v/>
      </c>
      <c r="Q38" s="63"/>
      <c r="R38" s="63"/>
      <c r="S38" s="63"/>
      <c r="T38" s="6" t="str">
        <f>IF(Tableau1712[[#This Row],[Libellé de la prestation de services]]="","",SUM(Tableau13455914[[#This Row],[services généraux]:[impôts]]))</f>
        <v/>
      </c>
      <c r="U38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8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8" s="10" t="str">
        <f>IF(Tableau1712[[#This Row],[Montant HT]]="","",Tableau134556571116[[#This Row],[Marge nette sur prestation ]]/Tableau1345561015[[#This Row],[Coût de revient unitaire]])</f>
        <v/>
      </c>
      <c r="X38" s="10" t="str">
        <f>IF(Tableau1712[[#This Row],[Montant HT]]="","",Tableau134556571116[[#This Row],[Marge nette sur prestation ]]/Tableau1712[[#This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IF(Tableau1712[[#This Row],[Libellé de la prestation de services]]="","",SUM(Tableau1712[[#This Row],[Matières premières]:[Frais de livraison liés aux achats]]))</f>
        <v/>
      </c>
      <c r="I39" s="63"/>
      <c r="J39" s="63"/>
      <c r="K39" s="6" t="str">
        <f>IF(Tableau1712[[#This Row],[Libellé de la prestation de services]]="","",SUM(Tableau1712[[#This Row],[Mains d’œuvre avec charges sociales et patronales,]:[Charges locatives]]))</f>
        <v/>
      </c>
      <c r="L39" s="64"/>
      <c r="M39" s="64"/>
      <c r="N39" s="64"/>
      <c r="O39" s="64"/>
      <c r="P39" s="6" t="str">
        <f>IF(Tableau1712[[#This Row],[Libellé de la prestation de services]]="","",SUM(Tableau1354813[[#This Row],[Marketing]:[Livraison]]))</f>
        <v/>
      </c>
      <c r="Q39" s="63"/>
      <c r="R39" s="63"/>
      <c r="S39" s="63"/>
      <c r="T39" s="6" t="str">
        <f>IF(Tableau1712[[#This Row],[Libellé de la prestation de services]]="","",SUM(Tableau13455914[[#This Row],[services généraux]:[impôts]]))</f>
        <v/>
      </c>
      <c r="U39" s="9" t="str">
        <f>IF(Tableau1712[[#This Row],[Libellé de la prestation de services]]="","",Tableau1712[[#This Row],[Couts d''achat et d''approvisionnement]]+Tableau1354813[[#This Row],[Coûts de production]]+Tableau13455914[[#This Row],[Coûts de commercialisation et distribution]]+Tableau1345561015[[#This Row],[Coûts administratifs]])</f>
        <v/>
      </c>
      <c r="V39" s="9" t="str">
        <f>IF(Tableau1712[[#This Row],[Libellé de la prestation de services]]="","",Tableau1712[[#This Row],[Montant HT]]-Tableau1354813[[#This Row],[Coûts de production]]-Tableau13455914[[#This Row],[Coûts de commercialisation et distribution]]-Tableau1345561015[[#This Row],[Coûts administratifs]])</f>
        <v/>
      </c>
      <c r="W39" s="10" t="str">
        <f>IF(Tableau1712[[#This Row],[Montant HT]]="","",Tableau134556571116[[#This Row],[Marge nette sur prestation ]]/Tableau1345561015[[#This Row],[Coût de revient unitaire]])</f>
        <v/>
      </c>
      <c r="X39" s="10" t="str">
        <f>IF(Tableau1712[[#This Row],[Montant HT]]="","",Tableau134556571116[[#This Row],[Marge nette sur prestation ]]/Tableau1712[[#This Row],[Montant HT]])</f>
        <v/>
      </c>
    </row>
    <row r="40" spans="1:24" ht="15.75" x14ac:dyDescent="0.25">
      <c r="A40" s="8"/>
      <c r="B40" s="8">
        <f>SUBTOTAL(103,Tableau1712[Libellé de la prestation de services])</f>
        <v>0</v>
      </c>
      <c r="C40" s="7">
        <f>SUBTOTAL(109,Tableau1712[Montant HT])</f>
        <v>0</v>
      </c>
      <c r="D40" s="7">
        <f>SUBTOTAL(109,Tableau1712[Matières premières])</f>
        <v>0</v>
      </c>
      <c r="E40" s="7">
        <f>SUBTOTAL(109,Tableau1712[Marchandises])</f>
        <v>0</v>
      </c>
      <c r="F40" s="7">
        <f>SUBTOTAL(109,Tableau1712[Consommables])</f>
        <v>0</v>
      </c>
      <c r="G40" s="7">
        <f>SUBTOTAL(109,Tableau1712[Frais de livraison liés aux achats])</f>
        <v>0</v>
      </c>
      <c r="H40" s="7">
        <f>SUBTOTAL(109,Tableau1712[Couts d''achat et d''approvisionnement])</f>
        <v>0</v>
      </c>
      <c r="I40" s="7">
        <f>SUBTOTAL(109,Tableau1712[Mains d’œuvre avec charges sociales et patronales,])</f>
        <v>0</v>
      </c>
      <c r="J40" s="7">
        <f>SUBTOTAL(109,Tableau1712[Charges locatives])</f>
        <v>0</v>
      </c>
      <c r="K40" s="7">
        <f>SUBTOTAL(109,Tableau1354813[Coûts de production])</f>
        <v>0</v>
      </c>
      <c r="L40" s="7">
        <f>SUBTOTAL(109,Tableau1354813[Marketing])</f>
        <v>0</v>
      </c>
      <c r="M40" s="7">
        <f>SUBTOTAL(109,Tableau1354813[Prospection])</f>
        <v>0</v>
      </c>
      <c r="N40" s="7">
        <f>SUBTOTAL(109,Tableau1354813[Commerciaux])</f>
        <v>0</v>
      </c>
      <c r="O40" s="7">
        <f>SUBTOTAL(109,Tableau1354813[Livraison])</f>
        <v>0</v>
      </c>
      <c r="P40" s="7">
        <f>SUBTOTAL(109,Tableau13455914[Coûts de commercialisation et distribution])</f>
        <v>0</v>
      </c>
      <c r="Q40" s="7">
        <f>SUBTOTAL(109,Tableau13455914[services généraux])</f>
        <v>0</v>
      </c>
      <c r="R40" s="7">
        <f>SUBTOTAL(109,Tableau13455914[frais divers])</f>
        <v>0</v>
      </c>
      <c r="S40" s="7">
        <f>SUBTOTAL(109,Tableau13455914[impôts])</f>
        <v>0</v>
      </c>
      <c r="T40" s="7">
        <f>SUBTOTAL(109,Tableau1345561015[Coûts administratifs])</f>
        <v>0</v>
      </c>
      <c r="U40" s="7">
        <f>SUBTOTAL(109,Tableau1345561015[Coût de revient unitaire])</f>
        <v>0</v>
      </c>
      <c r="V40" s="7">
        <f>SUBTOTAL(109,Tableau134556571116[[Marge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IF(Tableau1717[[#This Row],[Libellé de la prestation de services]]="","",SUM(Tableau1717[[#This Row],[Matières premières]:[Frais de livraison liés aux achats]]))</f>
        <v/>
      </c>
      <c r="I3" s="63"/>
      <c r="J3" s="63"/>
      <c r="K3" s="6" t="str">
        <f>IF(Tableau1717[[#This Row],[Libellé de la prestation de services]]="","",SUM(Tableau1717[[#This Row],[Mains d’œuvre avec charges sociales et patronales,]:[Charges locatives]]))</f>
        <v/>
      </c>
      <c r="L3" s="64"/>
      <c r="M3" s="64"/>
      <c r="N3" s="64"/>
      <c r="O3" s="64"/>
      <c r="P3" s="6" t="str">
        <f>IF(Tableau1717[[#This Row],[Libellé de la prestation de services]]="","",SUM(Tableau1354818[[#This Row],[Marketing]:[Livraison]]))</f>
        <v/>
      </c>
      <c r="Q3" s="63"/>
      <c r="R3" s="63"/>
      <c r="S3" s="63"/>
      <c r="T3" s="6" t="str">
        <f>IF(Tableau1717[[#This Row],[Libellé de la prestation de services]]="","",SUM(Tableau13455919[[#This Row],[services généraux]:[impôts]]))</f>
        <v/>
      </c>
      <c r="U3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" s="10" t="str">
        <f>IF(Tableau1717[[#This Row],[Montant HT]]="","",Tableau134556571121[[#This Row],[Marge nette sur prestation ]]/Tableau1345561020[[#This Row],[Coût de revient unitaire]])</f>
        <v/>
      </c>
      <c r="X3" s="10" t="str">
        <f>IF(Tableau1717[[#This Row],[Montant HT]]="","",Tableau134556571121[[#This Row],[Marge nette sur prestation ]]/Tableau1717[[#This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IF(Tableau1717[[#This Row],[Libellé de la prestation de services]]="","",SUM(Tableau1717[[#This Row],[Matières premières]:[Frais de livraison liés aux achats]]))</f>
        <v/>
      </c>
      <c r="I4" s="63"/>
      <c r="J4" s="63"/>
      <c r="K4" s="6" t="str">
        <f>IF(Tableau1717[[#This Row],[Libellé de la prestation de services]]="","",SUM(Tableau1717[[#This Row],[Mains d’œuvre avec charges sociales et patronales,]:[Charges locatives]]))</f>
        <v/>
      </c>
      <c r="L4" s="64"/>
      <c r="M4" s="64"/>
      <c r="N4" s="64"/>
      <c r="O4" s="64"/>
      <c r="P4" s="6" t="str">
        <f>IF(Tableau1717[[#This Row],[Libellé de la prestation de services]]="","",SUM(Tableau1354818[[#This Row],[Marketing]:[Livraison]]))</f>
        <v/>
      </c>
      <c r="Q4" s="63"/>
      <c r="R4" s="63"/>
      <c r="S4" s="63"/>
      <c r="T4" s="6" t="str">
        <f>IF(Tableau1717[[#This Row],[Libellé de la prestation de services]]="","",SUM(Tableau13455919[[#This Row],[services généraux]:[impôts]]))</f>
        <v/>
      </c>
      <c r="U4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4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4" s="10" t="str">
        <f>IF(Tableau1717[[#This Row],[Montant HT]]="","",Tableau134556571121[[#This Row],[Marge nette sur prestation ]]/Tableau1345561020[[#This Row],[Coût de revient unitaire]])</f>
        <v/>
      </c>
      <c r="X4" s="10" t="str">
        <f>IF(Tableau1717[[#This Row],[Montant HT]]="","",Tableau134556571121[[#This Row],[Marge nette sur prestation ]]/Tableau1717[[#This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IF(Tableau1717[[#This Row],[Libellé de la prestation de services]]="","",SUM(Tableau1717[[#This Row],[Matières premières]:[Frais de livraison liés aux achats]]))</f>
        <v/>
      </c>
      <c r="I5" s="63"/>
      <c r="J5" s="63"/>
      <c r="K5" s="6" t="str">
        <f>IF(Tableau1717[[#This Row],[Libellé de la prestation de services]]="","",SUM(Tableau1717[[#This Row],[Mains d’œuvre avec charges sociales et patronales,]:[Charges locatives]]))</f>
        <v/>
      </c>
      <c r="L5" s="64"/>
      <c r="M5" s="64"/>
      <c r="N5" s="64"/>
      <c r="O5" s="64"/>
      <c r="P5" s="6" t="str">
        <f>IF(Tableau1717[[#This Row],[Libellé de la prestation de services]]="","",SUM(Tableau1354818[[#This Row],[Marketing]:[Livraison]]))</f>
        <v/>
      </c>
      <c r="Q5" s="63"/>
      <c r="R5" s="63"/>
      <c r="S5" s="63"/>
      <c r="T5" s="6" t="str">
        <f>IF(Tableau1717[[#This Row],[Libellé de la prestation de services]]="","",SUM(Tableau13455919[[#This Row],[services généraux]:[impôts]]))</f>
        <v/>
      </c>
      <c r="U5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5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5" s="10" t="str">
        <f>IF(Tableau1717[[#This Row],[Montant HT]]="","",Tableau134556571121[[#This Row],[Marge nette sur prestation ]]/Tableau1345561020[[#This Row],[Coût de revient unitaire]])</f>
        <v/>
      </c>
      <c r="X5" s="10" t="str">
        <f>IF(Tableau1717[[#This Row],[Montant HT]]="","",Tableau134556571121[[#This Row],[Marge nette sur prestation ]]/Tableau1717[[#This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IF(Tableau1717[[#This Row],[Libellé de la prestation de services]]="","",SUM(Tableau1717[[#This Row],[Matières premières]:[Frais de livraison liés aux achats]]))</f>
        <v/>
      </c>
      <c r="I6" s="63"/>
      <c r="J6" s="63"/>
      <c r="K6" s="6" t="str">
        <f>IF(Tableau1717[[#This Row],[Libellé de la prestation de services]]="","",SUM(Tableau1717[[#This Row],[Mains d’œuvre avec charges sociales et patronales,]:[Charges locatives]]))</f>
        <v/>
      </c>
      <c r="L6" s="64"/>
      <c r="M6" s="64"/>
      <c r="N6" s="64"/>
      <c r="O6" s="64"/>
      <c r="P6" s="6" t="str">
        <f>IF(Tableau1717[[#This Row],[Libellé de la prestation de services]]="","",SUM(Tableau1354818[[#This Row],[Marketing]:[Livraison]]))</f>
        <v/>
      </c>
      <c r="Q6" s="63"/>
      <c r="R6" s="63"/>
      <c r="S6" s="63"/>
      <c r="T6" s="6" t="str">
        <f>IF(Tableau1717[[#This Row],[Libellé de la prestation de services]]="","",SUM(Tableau13455919[[#This Row],[services généraux]:[impôts]]))</f>
        <v/>
      </c>
      <c r="U6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6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6" s="10" t="str">
        <f>IF(Tableau1717[[#This Row],[Montant HT]]="","",Tableau134556571121[[#This Row],[Marge nette sur prestation ]]/Tableau1345561020[[#This Row],[Coût de revient unitaire]])</f>
        <v/>
      </c>
      <c r="X6" s="10" t="str">
        <f>IF(Tableau1717[[#This Row],[Montant HT]]="","",Tableau134556571121[[#This Row],[Marge nette sur prestation ]]/Tableau1717[[#This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IF(Tableau1717[[#This Row],[Libellé de la prestation de services]]="","",SUM(Tableau1717[[#This Row],[Matières premières]:[Frais de livraison liés aux achats]]))</f>
        <v/>
      </c>
      <c r="I7" s="63"/>
      <c r="J7" s="63"/>
      <c r="K7" s="6" t="str">
        <f>IF(Tableau1717[[#This Row],[Libellé de la prestation de services]]="","",SUM(Tableau1717[[#This Row],[Mains d’œuvre avec charges sociales et patronales,]:[Charges locatives]]))</f>
        <v/>
      </c>
      <c r="L7" s="64"/>
      <c r="M7" s="64"/>
      <c r="N7" s="64"/>
      <c r="O7" s="64"/>
      <c r="P7" s="6" t="str">
        <f>IF(Tableau1717[[#This Row],[Libellé de la prestation de services]]="","",SUM(Tableau1354818[[#This Row],[Marketing]:[Livraison]]))</f>
        <v/>
      </c>
      <c r="Q7" s="63"/>
      <c r="R7" s="63"/>
      <c r="S7" s="63"/>
      <c r="T7" s="6" t="str">
        <f>IF(Tableau1717[[#This Row],[Libellé de la prestation de services]]="","",SUM(Tableau13455919[[#This Row],[services généraux]:[impôts]]))</f>
        <v/>
      </c>
      <c r="U7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7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7" s="10" t="str">
        <f>IF(Tableau1717[[#This Row],[Montant HT]]="","",Tableau134556571121[[#This Row],[Marge nette sur prestation ]]/Tableau1345561020[[#This Row],[Coût de revient unitaire]])</f>
        <v/>
      </c>
      <c r="X7" s="10" t="str">
        <f>IF(Tableau1717[[#This Row],[Montant HT]]="","",Tableau134556571121[[#This Row],[Marge nette sur prestation ]]/Tableau1717[[#This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IF(Tableau1717[[#This Row],[Libellé de la prestation de services]]="","",SUM(Tableau1717[[#This Row],[Matières premières]:[Frais de livraison liés aux achats]]))</f>
        <v/>
      </c>
      <c r="I8" s="63"/>
      <c r="J8" s="63"/>
      <c r="K8" s="6" t="str">
        <f>IF(Tableau1717[[#This Row],[Libellé de la prestation de services]]="","",SUM(Tableau1717[[#This Row],[Mains d’œuvre avec charges sociales et patronales,]:[Charges locatives]]))</f>
        <v/>
      </c>
      <c r="L8" s="64"/>
      <c r="M8" s="64"/>
      <c r="N8" s="64"/>
      <c r="O8" s="64"/>
      <c r="P8" s="6" t="str">
        <f>IF(Tableau1717[[#This Row],[Libellé de la prestation de services]]="","",SUM(Tableau1354818[[#This Row],[Marketing]:[Livraison]]))</f>
        <v/>
      </c>
      <c r="Q8" s="63"/>
      <c r="R8" s="63"/>
      <c r="S8" s="63"/>
      <c r="T8" s="6" t="str">
        <f>IF(Tableau1717[[#This Row],[Libellé de la prestation de services]]="","",SUM(Tableau13455919[[#This Row],[services généraux]:[impôts]]))</f>
        <v/>
      </c>
      <c r="U8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8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8" s="10" t="str">
        <f>IF(Tableau1717[[#This Row],[Montant HT]]="","",Tableau134556571121[[#This Row],[Marge nette sur prestation ]]/Tableau1345561020[[#This Row],[Coût de revient unitaire]])</f>
        <v/>
      </c>
      <c r="X8" s="10" t="str">
        <f>IF(Tableau1717[[#This Row],[Montant HT]]="","",Tableau134556571121[[#This Row],[Marge nette sur prestation ]]/Tableau1717[[#This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IF(Tableau1717[[#This Row],[Libellé de la prestation de services]]="","",SUM(Tableau1717[[#This Row],[Matières premières]:[Frais de livraison liés aux achats]]))</f>
        <v/>
      </c>
      <c r="I9" s="63"/>
      <c r="J9" s="63"/>
      <c r="K9" s="6" t="str">
        <f>IF(Tableau1717[[#This Row],[Libellé de la prestation de services]]="","",SUM(Tableau1717[[#This Row],[Mains d’œuvre avec charges sociales et patronales,]:[Charges locatives]]))</f>
        <v/>
      </c>
      <c r="L9" s="64"/>
      <c r="M9" s="64"/>
      <c r="N9" s="64"/>
      <c r="O9" s="64"/>
      <c r="P9" s="6" t="str">
        <f>IF(Tableau1717[[#This Row],[Libellé de la prestation de services]]="","",SUM(Tableau1354818[[#This Row],[Marketing]:[Livraison]]))</f>
        <v/>
      </c>
      <c r="Q9" s="63"/>
      <c r="R9" s="63"/>
      <c r="S9" s="63"/>
      <c r="T9" s="6" t="str">
        <f>IF(Tableau1717[[#This Row],[Libellé de la prestation de services]]="","",SUM(Tableau13455919[[#This Row],[services généraux]:[impôts]]))</f>
        <v/>
      </c>
      <c r="U9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9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9" s="10" t="str">
        <f>IF(Tableau1717[[#This Row],[Montant HT]]="","",Tableau134556571121[[#This Row],[Marge nette sur prestation ]]/Tableau1345561020[[#This Row],[Coût de revient unitaire]])</f>
        <v/>
      </c>
      <c r="X9" s="10" t="str">
        <f>IF(Tableau1717[[#This Row],[Montant HT]]="","",Tableau134556571121[[#This Row],[Marge nette sur prestation ]]/Tableau1717[[#This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IF(Tableau1717[[#This Row],[Libellé de la prestation de services]]="","",SUM(Tableau1717[[#This Row],[Matières premières]:[Frais de livraison liés aux achats]]))</f>
        <v/>
      </c>
      <c r="I10" s="63"/>
      <c r="J10" s="63"/>
      <c r="K10" s="6" t="str">
        <f>IF(Tableau1717[[#This Row],[Libellé de la prestation de services]]="","",SUM(Tableau1717[[#This Row],[Mains d’œuvre avec charges sociales et patronales,]:[Charges locatives]]))</f>
        <v/>
      </c>
      <c r="L10" s="64"/>
      <c r="M10" s="64"/>
      <c r="N10" s="64"/>
      <c r="O10" s="64"/>
      <c r="P10" s="6" t="str">
        <f>IF(Tableau1717[[#This Row],[Libellé de la prestation de services]]="","",SUM(Tableau1354818[[#This Row],[Marketing]:[Livraison]]))</f>
        <v/>
      </c>
      <c r="Q10" s="63"/>
      <c r="R10" s="63"/>
      <c r="S10" s="63"/>
      <c r="T10" s="6" t="str">
        <f>IF(Tableau1717[[#This Row],[Libellé de la prestation de services]]="","",SUM(Tableau13455919[[#This Row],[services généraux]:[impôts]]))</f>
        <v/>
      </c>
      <c r="U10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0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0" s="10" t="str">
        <f>IF(Tableau1717[[#This Row],[Montant HT]]="","",Tableau134556571121[[#This Row],[Marge nette sur prestation ]]/Tableau1345561020[[#This Row],[Coût de revient unitaire]])</f>
        <v/>
      </c>
      <c r="X10" s="10" t="str">
        <f>IF(Tableau1717[[#This Row],[Montant HT]]="","",Tableau134556571121[[#This Row],[Marge nette sur prestation ]]/Tableau1717[[#This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IF(Tableau1717[[#This Row],[Libellé de la prestation de services]]="","",SUM(Tableau1717[[#This Row],[Matières premières]:[Frais de livraison liés aux achats]]))</f>
        <v/>
      </c>
      <c r="I11" s="63"/>
      <c r="J11" s="63"/>
      <c r="K11" s="6" t="str">
        <f>IF(Tableau1717[[#This Row],[Libellé de la prestation de services]]="","",SUM(Tableau1717[[#This Row],[Mains d’œuvre avec charges sociales et patronales,]:[Charges locatives]]))</f>
        <v/>
      </c>
      <c r="L11" s="64"/>
      <c r="M11" s="64"/>
      <c r="N11" s="64"/>
      <c r="O11" s="64"/>
      <c r="P11" s="6" t="str">
        <f>IF(Tableau1717[[#This Row],[Libellé de la prestation de services]]="","",SUM(Tableau1354818[[#This Row],[Marketing]:[Livraison]]))</f>
        <v/>
      </c>
      <c r="Q11" s="63"/>
      <c r="R11" s="63"/>
      <c r="S11" s="63"/>
      <c r="T11" s="6" t="str">
        <f>IF(Tableau1717[[#This Row],[Libellé de la prestation de services]]="","",SUM(Tableau13455919[[#This Row],[services généraux]:[impôts]]))</f>
        <v/>
      </c>
      <c r="U11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1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1" s="10" t="str">
        <f>IF(Tableau1717[[#This Row],[Montant HT]]="","",Tableau134556571121[[#This Row],[Marge nette sur prestation ]]/Tableau1345561020[[#This Row],[Coût de revient unitaire]])</f>
        <v/>
      </c>
      <c r="X11" s="10" t="str">
        <f>IF(Tableau1717[[#This Row],[Montant HT]]="","",Tableau134556571121[[#This Row],[Marge nette sur prestation ]]/Tableau1717[[#This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IF(Tableau1717[[#This Row],[Libellé de la prestation de services]]="","",SUM(Tableau1717[[#This Row],[Matières premières]:[Frais de livraison liés aux achats]]))</f>
        <v/>
      </c>
      <c r="I12" s="63"/>
      <c r="J12" s="63"/>
      <c r="K12" s="6" t="str">
        <f>IF(Tableau1717[[#This Row],[Libellé de la prestation de services]]="","",SUM(Tableau1717[[#This Row],[Mains d’œuvre avec charges sociales et patronales,]:[Charges locatives]]))</f>
        <v/>
      </c>
      <c r="L12" s="64"/>
      <c r="M12" s="64"/>
      <c r="N12" s="64"/>
      <c r="O12" s="64"/>
      <c r="P12" s="6" t="str">
        <f>IF(Tableau1717[[#This Row],[Libellé de la prestation de services]]="","",SUM(Tableau1354818[[#This Row],[Marketing]:[Livraison]]))</f>
        <v/>
      </c>
      <c r="Q12" s="63"/>
      <c r="R12" s="63"/>
      <c r="S12" s="63"/>
      <c r="T12" s="6" t="str">
        <f>IF(Tableau1717[[#This Row],[Libellé de la prestation de services]]="","",SUM(Tableau13455919[[#This Row],[services généraux]:[impôts]]))</f>
        <v/>
      </c>
      <c r="U12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2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2" s="10" t="str">
        <f>IF(Tableau1717[[#This Row],[Montant HT]]="","",Tableau134556571121[[#This Row],[Marge nette sur prestation ]]/Tableau1345561020[[#This Row],[Coût de revient unitaire]])</f>
        <v/>
      </c>
      <c r="X12" s="10" t="str">
        <f>IF(Tableau1717[[#This Row],[Montant HT]]="","",Tableau134556571121[[#This Row],[Marge nette sur prestation ]]/Tableau1717[[#This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IF(Tableau1717[[#This Row],[Libellé de la prestation de services]]="","",SUM(Tableau1717[[#This Row],[Matières premières]:[Frais de livraison liés aux achats]]))</f>
        <v/>
      </c>
      <c r="I13" s="63"/>
      <c r="J13" s="63"/>
      <c r="K13" s="6" t="str">
        <f>IF(Tableau1717[[#This Row],[Libellé de la prestation de services]]="","",SUM(Tableau1717[[#This Row],[Mains d’œuvre avec charges sociales et patronales,]:[Charges locatives]]))</f>
        <v/>
      </c>
      <c r="L13" s="64"/>
      <c r="M13" s="64"/>
      <c r="N13" s="64"/>
      <c r="O13" s="64"/>
      <c r="P13" s="6" t="str">
        <f>IF(Tableau1717[[#This Row],[Libellé de la prestation de services]]="","",SUM(Tableau1354818[[#This Row],[Marketing]:[Livraison]]))</f>
        <v/>
      </c>
      <c r="Q13" s="63"/>
      <c r="R13" s="63"/>
      <c r="S13" s="63"/>
      <c r="T13" s="6" t="str">
        <f>IF(Tableau1717[[#This Row],[Libellé de la prestation de services]]="","",SUM(Tableau13455919[[#This Row],[services généraux]:[impôts]]))</f>
        <v/>
      </c>
      <c r="U13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3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3" s="10" t="str">
        <f>IF(Tableau1717[[#This Row],[Montant HT]]="","",Tableau134556571121[[#This Row],[Marge nette sur prestation ]]/Tableau1345561020[[#This Row],[Coût de revient unitaire]])</f>
        <v/>
      </c>
      <c r="X13" s="10" t="str">
        <f>IF(Tableau1717[[#This Row],[Montant HT]]="","",Tableau134556571121[[#This Row],[Marge nette sur prestation ]]/Tableau1717[[#This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IF(Tableau1717[[#This Row],[Libellé de la prestation de services]]="","",SUM(Tableau1717[[#This Row],[Matières premières]:[Frais de livraison liés aux achats]]))</f>
        <v/>
      </c>
      <c r="I14" s="63"/>
      <c r="J14" s="63"/>
      <c r="K14" s="6" t="str">
        <f>IF(Tableau1717[[#This Row],[Libellé de la prestation de services]]="","",SUM(Tableau1717[[#This Row],[Mains d’œuvre avec charges sociales et patronales,]:[Charges locatives]]))</f>
        <v/>
      </c>
      <c r="L14" s="64"/>
      <c r="M14" s="64"/>
      <c r="N14" s="64"/>
      <c r="O14" s="64"/>
      <c r="P14" s="6" t="str">
        <f>IF(Tableau1717[[#This Row],[Libellé de la prestation de services]]="","",SUM(Tableau1354818[[#This Row],[Marketing]:[Livraison]]))</f>
        <v/>
      </c>
      <c r="Q14" s="63"/>
      <c r="R14" s="63"/>
      <c r="S14" s="63"/>
      <c r="T14" s="6" t="str">
        <f>IF(Tableau1717[[#This Row],[Libellé de la prestation de services]]="","",SUM(Tableau13455919[[#This Row],[services généraux]:[impôts]]))</f>
        <v/>
      </c>
      <c r="U14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4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4" s="10" t="str">
        <f>IF(Tableau1717[[#This Row],[Montant HT]]="","",Tableau134556571121[[#This Row],[Marge nette sur prestation ]]/Tableau1345561020[[#This Row],[Coût de revient unitaire]])</f>
        <v/>
      </c>
      <c r="X14" s="10" t="str">
        <f>IF(Tableau1717[[#This Row],[Montant HT]]="","",Tableau134556571121[[#This Row],[Marge nette sur prestation ]]/Tableau1717[[#This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IF(Tableau1717[[#This Row],[Libellé de la prestation de services]]="","",SUM(Tableau1717[[#This Row],[Matières premières]:[Frais de livraison liés aux achats]]))</f>
        <v/>
      </c>
      <c r="I15" s="63"/>
      <c r="J15" s="63"/>
      <c r="K15" s="6" t="str">
        <f>IF(Tableau1717[[#This Row],[Libellé de la prestation de services]]="","",SUM(Tableau1717[[#This Row],[Mains d’œuvre avec charges sociales et patronales,]:[Charges locatives]]))</f>
        <v/>
      </c>
      <c r="L15" s="64"/>
      <c r="M15" s="64"/>
      <c r="N15" s="64"/>
      <c r="O15" s="64"/>
      <c r="P15" s="6" t="str">
        <f>IF(Tableau1717[[#This Row],[Libellé de la prestation de services]]="","",SUM(Tableau1354818[[#This Row],[Marketing]:[Livraison]]))</f>
        <v/>
      </c>
      <c r="Q15" s="63"/>
      <c r="R15" s="63"/>
      <c r="S15" s="63"/>
      <c r="T15" s="6" t="str">
        <f>IF(Tableau1717[[#This Row],[Libellé de la prestation de services]]="","",SUM(Tableau13455919[[#This Row],[services généraux]:[impôts]]))</f>
        <v/>
      </c>
      <c r="U15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5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5" s="10" t="str">
        <f>IF(Tableau1717[[#This Row],[Montant HT]]="","",Tableau134556571121[[#This Row],[Marge nette sur prestation ]]/Tableau1345561020[[#This Row],[Coût de revient unitaire]])</f>
        <v/>
      </c>
      <c r="X15" s="10" t="str">
        <f>IF(Tableau1717[[#This Row],[Montant HT]]="","",Tableau134556571121[[#This Row],[Marge nette sur prestation ]]/Tableau1717[[#This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IF(Tableau1717[[#This Row],[Libellé de la prestation de services]]="","",SUM(Tableau1717[[#This Row],[Matières premières]:[Frais de livraison liés aux achats]]))</f>
        <v/>
      </c>
      <c r="I16" s="63"/>
      <c r="J16" s="63"/>
      <c r="K16" s="6" t="str">
        <f>IF(Tableau1717[[#This Row],[Libellé de la prestation de services]]="","",SUM(Tableau1717[[#This Row],[Mains d’œuvre avec charges sociales et patronales,]:[Charges locatives]]))</f>
        <v/>
      </c>
      <c r="L16" s="64"/>
      <c r="M16" s="64"/>
      <c r="N16" s="64"/>
      <c r="O16" s="64"/>
      <c r="P16" s="6" t="str">
        <f>IF(Tableau1717[[#This Row],[Libellé de la prestation de services]]="","",SUM(Tableau1354818[[#This Row],[Marketing]:[Livraison]]))</f>
        <v/>
      </c>
      <c r="Q16" s="63"/>
      <c r="R16" s="63"/>
      <c r="S16" s="63"/>
      <c r="T16" s="6" t="str">
        <f>IF(Tableau1717[[#This Row],[Libellé de la prestation de services]]="","",SUM(Tableau13455919[[#This Row],[services généraux]:[impôts]]))</f>
        <v/>
      </c>
      <c r="U16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6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6" s="10" t="str">
        <f>IF(Tableau1717[[#This Row],[Montant HT]]="","",Tableau134556571121[[#This Row],[Marge nette sur prestation ]]/Tableau1345561020[[#This Row],[Coût de revient unitaire]])</f>
        <v/>
      </c>
      <c r="X16" s="10" t="str">
        <f>IF(Tableau1717[[#This Row],[Montant HT]]="","",Tableau134556571121[[#This Row],[Marge nette sur prestation ]]/Tableau1717[[#This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IF(Tableau1717[[#This Row],[Libellé de la prestation de services]]="","",SUM(Tableau1717[[#This Row],[Matières premières]:[Frais de livraison liés aux achats]]))</f>
        <v/>
      </c>
      <c r="I17" s="63"/>
      <c r="J17" s="63"/>
      <c r="K17" s="6" t="str">
        <f>IF(Tableau1717[[#This Row],[Libellé de la prestation de services]]="","",SUM(Tableau1717[[#This Row],[Mains d’œuvre avec charges sociales et patronales,]:[Charges locatives]]))</f>
        <v/>
      </c>
      <c r="L17" s="64"/>
      <c r="M17" s="64"/>
      <c r="N17" s="64"/>
      <c r="O17" s="64"/>
      <c r="P17" s="6" t="str">
        <f>IF(Tableau1717[[#This Row],[Libellé de la prestation de services]]="","",SUM(Tableau1354818[[#This Row],[Marketing]:[Livraison]]))</f>
        <v/>
      </c>
      <c r="Q17" s="63"/>
      <c r="R17" s="63"/>
      <c r="S17" s="63"/>
      <c r="T17" s="6" t="str">
        <f>IF(Tableau1717[[#This Row],[Libellé de la prestation de services]]="","",SUM(Tableau13455919[[#This Row],[services généraux]:[impôts]]))</f>
        <v/>
      </c>
      <c r="U17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7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7" s="10" t="str">
        <f>IF(Tableau1717[[#This Row],[Montant HT]]="","",Tableau134556571121[[#This Row],[Marge nette sur prestation ]]/Tableau1345561020[[#This Row],[Coût de revient unitaire]])</f>
        <v/>
      </c>
      <c r="X17" s="10" t="str">
        <f>IF(Tableau1717[[#This Row],[Montant HT]]="","",Tableau134556571121[[#This Row],[Marge nette sur prestation ]]/Tableau1717[[#This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IF(Tableau1717[[#This Row],[Libellé de la prestation de services]]="","",SUM(Tableau1717[[#This Row],[Matières premières]:[Frais de livraison liés aux achats]]))</f>
        <v/>
      </c>
      <c r="I18" s="63"/>
      <c r="J18" s="63"/>
      <c r="K18" s="6" t="str">
        <f>IF(Tableau1717[[#This Row],[Libellé de la prestation de services]]="","",SUM(Tableau1717[[#This Row],[Mains d’œuvre avec charges sociales et patronales,]:[Charges locatives]]))</f>
        <v/>
      </c>
      <c r="L18" s="64"/>
      <c r="M18" s="64"/>
      <c r="N18" s="64"/>
      <c r="O18" s="64"/>
      <c r="P18" s="6" t="str">
        <f>IF(Tableau1717[[#This Row],[Libellé de la prestation de services]]="","",SUM(Tableau1354818[[#This Row],[Marketing]:[Livraison]]))</f>
        <v/>
      </c>
      <c r="Q18" s="63"/>
      <c r="R18" s="63"/>
      <c r="S18" s="63"/>
      <c r="T18" s="6" t="str">
        <f>IF(Tableau1717[[#This Row],[Libellé de la prestation de services]]="","",SUM(Tableau13455919[[#This Row],[services généraux]:[impôts]]))</f>
        <v/>
      </c>
      <c r="U18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8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8" s="10" t="str">
        <f>IF(Tableau1717[[#This Row],[Montant HT]]="","",Tableau134556571121[[#This Row],[Marge nette sur prestation ]]/Tableau1345561020[[#This Row],[Coût de revient unitaire]])</f>
        <v/>
      </c>
      <c r="X18" s="10" t="str">
        <f>IF(Tableau1717[[#This Row],[Montant HT]]="","",Tableau134556571121[[#This Row],[Marge nette sur prestation ]]/Tableau1717[[#This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IF(Tableau1717[[#This Row],[Libellé de la prestation de services]]="","",SUM(Tableau1717[[#This Row],[Matières premières]:[Frais de livraison liés aux achats]]))</f>
        <v/>
      </c>
      <c r="I19" s="63"/>
      <c r="J19" s="63"/>
      <c r="K19" s="6" t="str">
        <f>IF(Tableau1717[[#This Row],[Libellé de la prestation de services]]="","",SUM(Tableau1717[[#This Row],[Mains d’œuvre avec charges sociales et patronales,]:[Charges locatives]]))</f>
        <v/>
      </c>
      <c r="L19" s="64"/>
      <c r="M19" s="64"/>
      <c r="N19" s="64"/>
      <c r="O19" s="64"/>
      <c r="P19" s="6" t="str">
        <f>IF(Tableau1717[[#This Row],[Libellé de la prestation de services]]="","",SUM(Tableau1354818[[#This Row],[Marketing]:[Livraison]]))</f>
        <v/>
      </c>
      <c r="Q19" s="63"/>
      <c r="R19" s="63"/>
      <c r="S19" s="63"/>
      <c r="T19" s="6" t="str">
        <f>IF(Tableau1717[[#This Row],[Libellé de la prestation de services]]="","",SUM(Tableau13455919[[#This Row],[services généraux]:[impôts]]))</f>
        <v/>
      </c>
      <c r="U19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19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19" s="10" t="str">
        <f>IF(Tableau1717[[#This Row],[Montant HT]]="","",Tableau134556571121[[#This Row],[Marge nette sur prestation ]]/Tableau1345561020[[#This Row],[Coût de revient unitaire]])</f>
        <v/>
      </c>
      <c r="X19" s="10" t="str">
        <f>IF(Tableau1717[[#This Row],[Montant HT]]="","",Tableau134556571121[[#This Row],[Marge nette sur prestation ]]/Tableau1717[[#This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IF(Tableau1717[[#This Row],[Libellé de la prestation de services]]="","",SUM(Tableau1717[[#This Row],[Matières premières]:[Frais de livraison liés aux achats]]))</f>
        <v/>
      </c>
      <c r="I20" s="63"/>
      <c r="J20" s="63"/>
      <c r="K20" s="6" t="str">
        <f>IF(Tableau1717[[#This Row],[Libellé de la prestation de services]]="","",SUM(Tableau1717[[#This Row],[Mains d’œuvre avec charges sociales et patronales,]:[Charges locatives]]))</f>
        <v/>
      </c>
      <c r="L20" s="64"/>
      <c r="M20" s="64"/>
      <c r="N20" s="64"/>
      <c r="O20" s="64"/>
      <c r="P20" s="6" t="str">
        <f>IF(Tableau1717[[#This Row],[Libellé de la prestation de services]]="","",SUM(Tableau1354818[[#This Row],[Marketing]:[Livraison]]))</f>
        <v/>
      </c>
      <c r="Q20" s="63"/>
      <c r="R20" s="63"/>
      <c r="S20" s="63"/>
      <c r="T20" s="6" t="str">
        <f>IF(Tableau1717[[#This Row],[Libellé de la prestation de services]]="","",SUM(Tableau13455919[[#This Row],[services généraux]:[impôts]]))</f>
        <v/>
      </c>
      <c r="U20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0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0" s="10" t="str">
        <f>IF(Tableau1717[[#This Row],[Montant HT]]="","",Tableau134556571121[[#This Row],[Marge nette sur prestation ]]/Tableau1345561020[[#This Row],[Coût de revient unitaire]])</f>
        <v/>
      </c>
      <c r="X20" s="10" t="str">
        <f>IF(Tableau1717[[#This Row],[Montant HT]]="","",Tableau134556571121[[#This Row],[Marge nette sur prestation ]]/Tableau1717[[#This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IF(Tableau1717[[#This Row],[Libellé de la prestation de services]]="","",SUM(Tableau1717[[#This Row],[Matières premières]:[Frais de livraison liés aux achats]]))</f>
        <v/>
      </c>
      <c r="I21" s="63"/>
      <c r="J21" s="63"/>
      <c r="K21" s="6" t="str">
        <f>IF(Tableau1717[[#This Row],[Libellé de la prestation de services]]="","",SUM(Tableau1717[[#This Row],[Mains d’œuvre avec charges sociales et patronales,]:[Charges locatives]]))</f>
        <v/>
      </c>
      <c r="L21" s="64"/>
      <c r="M21" s="64"/>
      <c r="N21" s="64"/>
      <c r="O21" s="64"/>
      <c r="P21" s="6" t="str">
        <f>IF(Tableau1717[[#This Row],[Libellé de la prestation de services]]="","",SUM(Tableau1354818[[#This Row],[Marketing]:[Livraison]]))</f>
        <v/>
      </c>
      <c r="Q21" s="63"/>
      <c r="R21" s="63"/>
      <c r="S21" s="63"/>
      <c r="T21" s="6" t="str">
        <f>IF(Tableau1717[[#This Row],[Libellé de la prestation de services]]="","",SUM(Tableau13455919[[#This Row],[services généraux]:[impôts]]))</f>
        <v/>
      </c>
      <c r="U21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1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1" s="10" t="str">
        <f>IF(Tableau1717[[#This Row],[Montant HT]]="","",Tableau134556571121[[#This Row],[Marge nette sur prestation ]]/Tableau1345561020[[#This Row],[Coût de revient unitaire]])</f>
        <v/>
      </c>
      <c r="X21" s="10" t="str">
        <f>IF(Tableau1717[[#This Row],[Montant HT]]="","",Tableau134556571121[[#This Row],[Marge nette sur prestation ]]/Tableau1717[[#This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IF(Tableau1717[[#This Row],[Libellé de la prestation de services]]="","",SUM(Tableau1717[[#This Row],[Matières premières]:[Frais de livraison liés aux achats]]))</f>
        <v/>
      </c>
      <c r="I22" s="63"/>
      <c r="J22" s="63"/>
      <c r="K22" s="6" t="str">
        <f>IF(Tableau1717[[#This Row],[Libellé de la prestation de services]]="","",SUM(Tableau1717[[#This Row],[Mains d’œuvre avec charges sociales et patronales,]:[Charges locatives]]))</f>
        <v/>
      </c>
      <c r="L22" s="64"/>
      <c r="M22" s="64"/>
      <c r="N22" s="64"/>
      <c r="O22" s="64"/>
      <c r="P22" s="6" t="str">
        <f>IF(Tableau1717[[#This Row],[Libellé de la prestation de services]]="","",SUM(Tableau1354818[[#This Row],[Marketing]:[Livraison]]))</f>
        <v/>
      </c>
      <c r="Q22" s="63"/>
      <c r="R22" s="63"/>
      <c r="S22" s="63"/>
      <c r="T22" s="6" t="str">
        <f>IF(Tableau1717[[#This Row],[Libellé de la prestation de services]]="","",SUM(Tableau13455919[[#This Row],[services généraux]:[impôts]]))</f>
        <v/>
      </c>
      <c r="U22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2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2" s="10" t="str">
        <f>IF(Tableau1717[[#This Row],[Montant HT]]="","",Tableau134556571121[[#This Row],[Marge nette sur prestation ]]/Tableau1345561020[[#This Row],[Coût de revient unitaire]])</f>
        <v/>
      </c>
      <c r="X22" s="10" t="str">
        <f>IF(Tableau1717[[#This Row],[Montant HT]]="","",Tableau134556571121[[#This Row],[Marge nette sur prestation ]]/Tableau1717[[#This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IF(Tableau1717[[#This Row],[Libellé de la prestation de services]]="","",SUM(Tableau1717[[#This Row],[Matières premières]:[Frais de livraison liés aux achats]]))</f>
        <v/>
      </c>
      <c r="I23" s="63"/>
      <c r="J23" s="63"/>
      <c r="K23" s="6" t="str">
        <f>IF(Tableau1717[[#This Row],[Libellé de la prestation de services]]="","",SUM(Tableau1717[[#This Row],[Mains d’œuvre avec charges sociales et patronales,]:[Charges locatives]]))</f>
        <v/>
      </c>
      <c r="L23" s="64"/>
      <c r="M23" s="64"/>
      <c r="N23" s="64"/>
      <c r="O23" s="64"/>
      <c r="P23" s="6" t="str">
        <f>IF(Tableau1717[[#This Row],[Libellé de la prestation de services]]="","",SUM(Tableau1354818[[#This Row],[Marketing]:[Livraison]]))</f>
        <v/>
      </c>
      <c r="Q23" s="63"/>
      <c r="R23" s="63"/>
      <c r="S23" s="63"/>
      <c r="T23" s="6" t="str">
        <f>IF(Tableau1717[[#This Row],[Libellé de la prestation de services]]="","",SUM(Tableau13455919[[#This Row],[services généraux]:[impôts]]))</f>
        <v/>
      </c>
      <c r="U23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3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3" s="10" t="str">
        <f>IF(Tableau1717[[#This Row],[Montant HT]]="","",Tableau134556571121[[#This Row],[Marge nette sur prestation ]]/Tableau1345561020[[#This Row],[Coût de revient unitaire]])</f>
        <v/>
      </c>
      <c r="X23" s="10" t="str">
        <f>IF(Tableau1717[[#This Row],[Montant HT]]="","",Tableau134556571121[[#This Row],[Marge nette sur prestation ]]/Tableau1717[[#This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IF(Tableau1717[[#This Row],[Libellé de la prestation de services]]="","",SUM(Tableau1717[[#This Row],[Matières premières]:[Frais de livraison liés aux achats]]))</f>
        <v/>
      </c>
      <c r="I24" s="63"/>
      <c r="J24" s="63"/>
      <c r="K24" s="6" t="str">
        <f>IF(Tableau1717[[#This Row],[Libellé de la prestation de services]]="","",SUM(Tableau1717[[#This Row],[Mains d’œuvre avec charges sociales et patronales,]:[Charges locatives]]))</f>
        <v/>
      </c>
      <c r="L24" s="64"/>
      <c r="M24" s="64"/>
      <c r="N24" s="64"/>
      <c r="O24" s="64"/>
      <c r="P24" s="6" t="str">
        <f>IF(Tableau1717[[#This Row],[Libellé de la prestation de services]]="","",SUM(Tableau1354818[[#This Row],[Marketing]:[Livraison]]))</f>
        <v/>
      </c>
      <c r="Q24" s="63"/>
      <c r="R24" s="63"/>
      <c r="S24" s="63"/>
      <c r="T24" s="6" t="str">
        <f>IF(Tableau1717[[#This Row],[Libellé de la prestation de services]]="","",SUM(Tableau13455919[[#This Row],[services généraux]:[impôts]]))</f>
        <v/>
      </c>
      <c r="U24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4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4" s="10" t="str">
        <f>IF(Tableau1717[[#This Row],[Montant HT]]="","",Tableau134556571121[[#This Row],[Marge nette sur prestation ]]/Tableau1345561020[[#This Row],[Coût de revient unitaire]])</f>
        <v/>
      </c>
      <c r="X24" s="10" t="str">
        <f>IF(Tableau1717[[#This Row],[Montant HT]]="","",Tableau134556571121[[#This Row],[Marge nette sur prestation ]]/Tableau1717[[#This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IF(Tableau1717[[#This Row],[Libellé de la prestation de services]]="","",SUM(Tableau1717[[#This Row],[Matières premières]:[Frais de livraison liés aux achats]]))</f>
        <v/>
      </c>
      <c r="I25" s="63"/>
      <c r="J25" s="63"/>
      <c r="K25" s="6" t="str">
        <f>IF(Tableau1717[[#This Row],[Libellé de la prestation de services]]="","",SUM(Tableau1717[[#This Row],[Mains d’œuvre avec charges sociales et patronales,]:[Charges locatives]]))</f>
        <v/>
      </c>
      <c r="L25" s="64"/>
      <c r="M25" s="64"/>
      <c r="N25" s="64"/>
      <c r="O25" s="64"/>
      <c r="P25" s="6" t="str">
        <f>IF(Tableau1717[[#This Row],[Libellé de la prestation de services]]="","",SUM(Tableau1354818[[#This Row],[Marketing]:[Livraison]]))</f>
        <v/>
      </c>
      <c r="Q25" s="63"/>
      <c r="R25" s="63"/>
      <c r="S25" s="63"/>
      <c r="T25" s="6" t="str">
        <f>IF(Tableau1717[[#This Row],[Libellé de la prestation de services]]="","",SUM(Tableau13455919[[#This Row],[services généraux]:[impôts]]))</f>
        <v/>
      </c>
      <c r="U25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5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5" s="10" t="str">
        <f>IF(Tableau1717[[#This Row],[Montant HT]]="","",Tableau134556571121[[#This Row],[Marge nette sur prestation ]]/Tableau1345561020[[#This Row],[Coût de revient unitaire]])</f>
        <v/>
      </c>
      <c r="X25" s="10" t="str">
        <f>IF(Tableau1717[[#This Row],[Montant HT]]="","",Tableau134556571121[[#This Row],[Marge nette sur prestation ]]/Tableau1717[[#This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IF(Tableau1717[[#This Row],[Libellé de la prestation de services]]="","",SUM(Tableau1717[[#This Row],[Matières premières]:[Frais de livraison liés aux achats]]))</f>
        <v/>
      </c>
      <c r="I26" s="63"/>
      <c r="J26" s="63"/>
      <c r="K26" s="6" t="str">
        <f>IF(Tableau1717[[#This Row],[Libellé de la prestation de services]]="","",SUM(Tableau1717[[#This Row],[Mains d’œuvre avec charges sociales et patronales,]:[Charges locatives]]))</f>
        <v/>
      </c>
      <c r="L26" s="64"/>
      <c r="M26" s="64"/>
      <c r="N26" s="64"/>
      <c r="O26" s="64"/>
      <c r="P26" s="6" t="str">
        <f>IF(Tableau1717[[#This Row],[Libellé de la prestation de services]]="","",SUM(Tableau1354818[[#This Row],[Marketing]:[Livraison]]))</f>
        <v/>
      </c>
      <c r="Q26" s="63"/>
      <c r="R26" s="63"/>
      <c r="S26" s="63"/>
      <c r="T26" s="6" t="str">
        <f>IF(Tableau1717[[#This Row],[Libellé de la prestation de services]]="","",SUM(Tableau13455919[[#This Row],[services généraux]:[impôts]]))</f>
        <v/>
      </c>
      <c r="U26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6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6" s="10" t="str">
        <f>IF(Tableau1717[[#This Row],[Montant HT]]="","",Tableau134556571121[[#This Row],[Marge nette sur prestation ]]/Tableau1345561020[[#This Row],[Coût de revient unitaire]])</f>
        <v/>
      </c>
      <c r="X26" s="10" t="str">
        <f>IF(Tableau1717[[#This Row],[Montant HT]]="","",Tableau134556571121[[#This Row],[Marge nette sur prestation ]]/Tableau1717[[#This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IF(Tableau1717[[#This Row],[Libellé de la prestation de services]]="","",SUM(Tableau1717[[#This Row],[Matières premières]:[Frais de livraison liés aux achats]]))</f>
        <v/>
      </c>
      <c r="I27" s="63"/>
      <c r="J27" s="63"/>
      <c r="K27" s="6" t="str">
        <f>IF(Tableau1717[[#This Row],[Libellé de la prestation de services]]="","",SUM(Tableau1717[[#This Row],[Mains d’œuvre avec charges sociales et patronales,]:[Charges locatives]]))</f>
        <v/>
      </c>
      <c r="L27" s="64"/>
      <c r="M27" s="64"/>
      <c r="N27" s="64"/>
      <c r="O27" s="64"/>
      <c r="P27" s="6" t="str">
        <f>IF(Tableau1717[[#This Row],[Libellé de la prestation de services]]="","",SUM(Tableau1354818[[#This Row],[Marketing]:[Livraison]]))</f>
        <v/>
      </c>
      <c r="Q27" s="63"/>
      <c r="R27" s="63"/>
      <c r="S27" s="63"/>
      <c r="T27" s="6" t="str">
        <f>IF(Tableau1717[[#This Row],[Libellé de la prestation de services]]="","",SUM(Tableau13455919[[#This Row],[services généraux]:[impôts]]))</f>
        <v/>
      </c>
      <c r="U27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7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7" s="10" t="str">
        <f>IF(Tableau1717[[#This Row],[Montant HT]]="","",Tableau134556571121[[#This Row],[Marge nette sur prestation ]]/Tableau1345561020[[#This Row],[Coût de revient unitaire]])</f>
        <v/>
      </c>
      <c r="X27" s="10" t="str">
        <f>IF(Tableau1717[[#This Row],[Montant HT]]="","",Tableau134556571121[[#This Row],[Marge nette sur prestation ]]/Tableau1717[[#This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IF(Tableau1717[[#This Row],[Libellé de la prestation de services]]="","",SUM(Tableau1717[[#This Row],[Matières premières]:[Frais de livraison liés aux achats]]))</f>
        <v/>
      </c>
      <c r="I28" s="63"/>
      <c r="J28" s="63"/>
      <c r="K28" s="6" t="str">
        <f>IF(Tableau1717[[#This Row],[Libellé de la prestation de services]]="","",SUM(Tableau1717[[#This Row],[Mains d’œuvre avec charges sociales et patronales,]:[Charges locatives]]))</f>
        <v/>
      </c>
      <c r="L28" s="64"/>
      <c r="M28" s="64"/>
      <c r="N28" s="64"/>
      <c r="O28" s="64"/>
      <c r="P28" s="6" t="str">
        <f>IF(Tableau1717[[#This Row],[Libellé de la prestation de services]]="","",SUM(Tableau1354818[[#This Row],[Marketing]:[Livraison]]))</f>
        <v/>
      </c>
      <c r="Q28" s="63"/>
      <c r="R28" s="63"/>
      <c r="S28" s="63"/>
      <c r="T28" s="6" t="str">
        <f>IF(Tableau1717[[#This Row],[Libellé de la prestation de services]]="","",SUM(Tableau13455919[[#This Row],[services généraux]:[impôts]]))</f>
        <v/>
      </c>
      <c r="U28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8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8" s="10" t="str">
        <f>IF(Tableau1717[[#This Row],[Montant HT]]="","",Tableau134556571121[[#This Row],[Marge nette sur prestation ]]/Tableau1345561020[[#This Row],[Coût de revient unitaire]])</f>
        <v/>
      </c>
      <c r="X28" s="10" t="str">
        <f>IF(Tableau1717[[#This Row],[Montant HT]]="","",Tableau134556571121[[#This Row],[Marge nette sur prestation ]]/Tableau1717[[#This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IF(Tableau1717[[#This Row],[Libellé de la prestation de services]]="","",SUM(Tableau1717[[#This Row],[Matières premières]:[Frais de livraison liés aux achats]]))</f>
        <v/>
      </c>
      <c r="I29" s="63"/>
      <c r="J29" s="63"/>
      <c r="K29" s="6" t="str">
        <f>IF(Tableau1717[[#This Row],[Libellé de la prestation de services]]="","",SUM(Tableau1717[[#This Row],[Mains d’œuvre avec charges sociales et patronales,]:[Charges locatives]]))</f>
        <v/>
      </c>
      <c r="L29" s="64"/>
      <c r="M29" s="64"/>
      <c r="N29" s="64"/>
      <c r="O29" s="64"/>
      <c r="P29" s="6" t="str">
        <f>IF(Tableau1717[[#This Row],[Libellé de la prestation de services]]="","",SUM(Tableau1354818[[#This Row],[Marketing]:[Livraison]]))</f>
        <v/>
      </c>
      <c r="Q29" s="63"/>
      <c r="R29" s="63"/>
      <c r="S29" s="63"/>
      <c r="T29" s="6" t="str">
        <f>IF(Tableau1717[[#This Row],[Libellé de la prestation de services]]="","",SUM(Tableau13455919[[#This Row],[services généraux]:[impôts]]))</f>
        <v/>
      </c>
      <c r="U29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29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29" s="10" t="str">
        <f>IF(Tableau1717[[#This Row],[Montant HT]]="","",Tableau134556571121[[#This Row],[Marge nette sur prestation ]]/Tableau1345561020[[#This Row],[Coût de revient unitaire]])</f>
        <v/>
      </c>
      <c r="X29" s="10" t="str">
        <f>IF(Tableau1717[[#This Row],[Montant HT]]="","",Tableau134556571121[[#This Row],[Marge nette sur prestation ]]/Tableau1717[[#This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IF(Tableau1717[[#This Row],[Libellé de la prestation de services]]="","",SUM(Tableau1717[[#This Row],[Matières premières]:[Frais de livraison liés aux achats]]))</f>
        <v/>
      </c>
      <c r="I30" s="63"/>
      <c r="J30" s="63"/>
      <c r="K30" s="6" t="str">
        <f>IF(Tableau1717[[#This Row],[Libellé de la prestation de services]]="","",SUM(Tableau1717[[#This Row],[Mains d’œuvre avec charges sociales et patronales,]:[Charges locatives]]))</f>
        <v/>
      </c>
      <c r="L30" s="64"/>
      <c r="M30" s="64"/>
      <c r="N30" s="64"/>
      <c r="O30" s="64"/>
      <c r="P30" s="6" t="str">
        <f>IF(Tableau1717[[#This Row],[Libellé de la prestation de services]]="","",SUM(Tableau1354818[[#This Row],[Marketing]:[Livraison]]))</f>
        <v/>
      </c>
      <c r="Q30" s="63"/>
      <c r="R30" s="63"/>
      <c r="S30" s="63"/>
      <c r="T30" s="6" t="str">
        <f>IF(Tableau1717[[#This Row],[Libellé de la prestation de services]]="","",SUM(Tableau13455919[[#This Row],[services généraux]:[impôts]]))</f>
        <v/>
      </c>
      <c r="U30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0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0" s="10" t="str">
        <f>IF(Tableau1717[[#This Row],[Montant HT]]="","",Tableau134556571121[[#This Row],[Marge nette sur prestation ]]/Tableau1345561020[[#This Row],[Coût de revient unitaire]])</f>
        <v/>
      </c>
      <c r="X30" s="10" t="str">
        <f>IF(Tableau1717[[#This Row],[Montant HT]]="","",Tableau134556571121[[#This Row],[Marge nette sur prestation ]]/Tableau1717[[#This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IF(Tableau1717[[#This Row],[Libellé de la prestation de services]]="","",SUM(Tableau1717[[#This Row],[Matières premières]:[Frais de livraison liés aux achats]]))</f>
        <v/>
      </c>
      <c r="I31" s="63"/>
      <c r="J31" s="63"/>
      <c r="K31" s="6" t="str">
        <f>IF(Tableau1717[[#This Row],[Libellé de la prestation de services]]="","",SUM(Tableau1717[[#This Row],[Mains d’œuvre avec charges sociales et patronales,]:[Charges locatives]]))</f>
        <v/>
      </c>
      <c r="L31" s="64"/>
      <c r="M31" s="64"/>
      <c r="N31" s="64"/>
      <c r="O31" s="64"/>
      <c r="P31" s="6" t="str">
        <f>IF(Tableau1717[[#This Row],[Libellé de la prestation de services]]="","",SUM(Tableau1354818[[#This Row],[Marketing]:[Livraison]]))</f>
        <v/>
      </c>
      <c r="Q31" s="63"/>
      <c r="R31" s="63"/>
      <c r="S31" s="63"/>
      <c r="T31" s="6" t="str">
        <f>IF(Tableau1717[[#This Row],[Libellé de la prestation de services]]="","",SUM(Tableau13455919[[#This Row],[services généraux]:[impôts]]))</f>
        <v/>
      </c>
      <c r="U31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1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1" s="10" t="str">
        <f>IF(Tableau1717[[#This Row],[Montant HT]]="","",Tableau134556571121[[#This Row],[Marge nette sur prestation ]]/Tableau1345561020[[#This Row],[Coût de revient unitaire]])</f>
        <v/>
      </c>
      <c r="X31" s="10" t="str">
        <f>IF(Tableau1717[[#This Row],[Montant HT]]="","",Tableau134556571121[[#This Row],[Marge nette sur prestation ]]/Tableau1717[[#This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IF(Tableau1717[[#This Row],[Libellé de la prestation de services]]="","",SUM(Tableau1717[[#This Row],[Matières premières]:[Frais de livraison liés aux achats]]))</f>
        <v/>
      </c>
      <c r="I32" s="63"/>
      <c r="J32" s="63"/>
      <c r="K32" s="6" t="str">
        <f>IF(Tableau1717[[#This Row],[Libellé de la prestation de services]]="","",SUM(Tableau1717[[#This Row],[Mains d’œuvre avec charges sociales et patronales,]:[Charges locatives]]))</f>
        <v/>
      </c>
      <c r="L32" s="64"/>
      <c r="M32" s="64"/>
      <c r="N32" s="64"/>
      <c r="O32" s="64"/>
      <c r="P32" s="6" t="str">
        <f>IF(Tableau1717[[#This Row],[Libellé de la prestation de services]]="","",SUM(Tableau1354818[[#This Row],[Marketing]:[Livraison]]))</f>
        <v/>
      </c>
      <c r="Q32" s="63"/>
      <c r="R32" s="63"/>
      <c r="S32" s="63"/>
      <c r="T32" s="6" t="str">
        <f>IF(Tableau1717[[#This Row],[Libellé de la prestation de services]]="","",SUM(Tableau13455919[[#This Row],[services généraux]:[impôts]]))</f>
        <v/>
      </c>
      <c r="U32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2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2" s="10" t="str">
        <f>IF(Tableau1717[[#This Row],[Montant HT]]="","",Tableau134556571121[[#This Row],[Marge nette sur prestation ]]/Tableau1345561020[[#This Row],[Coût de revient unitaire]])</f>
        <v/>
      </c>
      <c r="X32" s="10" t="str">
        <f>IF(Tableau1717[[#This Row],[Montant HT]]="","",Tableau134556571121[[#This Row],[Marge nette sur prestation ]]/Tableau1717[[#This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IF(Tableau1717[[#This Row],[Libellé de la prestation de services]]="","",SUM(Tableau1717[[#This Row],[Matières premières]:[Frais de livraison liés aux achats]]))</f>
        <v/>
      </c>
      <c r="I33" s="63"/>
      <c r="J33" s="63"/>
      <c r="K33" s="6" t="str">
        <f>IF(Tableau1717[[#This Row],[Libellé de la prestation de services]]="","",SUM(Tableau1717[[#This Row],[Mains d’œuvre avec charges sociales et patronales,]:[Charges locatives]]))</f>
        <v/>
      </c>
      <c r="L33" s="64"/>
      <c r="M33" s="64"/>
      <c r="N33" s="64"/>
      <c r="O33" s="64"/>
      <c r="P33" s="6" t="str">
        <f>IF(Tableau1717[[#This Row],[Libellé de la prestation de services]]="","",SUM(Tableau1354818[[#This Row],[Marketing]:[Livraison]]))</f>
        <v/>
      </c>
      <c r="Q33" s="63"/>
      <c r="R33" s="63"/>
      <c r="S33" s="63"/>
      <c r="T33" s="6" t="str">
        <f>IF(Tableau1717[[#This Row],[Libellé de la prestation de services]]="","",SUM(Tableau13455919[[#This Row],[services généraux]:[impôts]]))</f>
        <v/>
      </c>
      <c r="U33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3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3" s="10" t="str">
        <f>IF(Tableau1717[[#This Row],[Montant HT]]="","",Tableau134556571121[[#This Row],[Marge nette sur prestation ]]/Tableau1345561020[[#This Row],[Coût de revient unitaire]])</f>
        <v/>
      </c>
      <c r="X33" s="10" t="str">
        <f>IF(Tableau1717[[#This Row],[Montant HT]]="","",Tableau134556571121[[#This Row],[Marge nette sur prestation ]]/Tableau1717[[#This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IF(Tableau1717[[#This Row],[Libellé de la prestation de services]]="","",SUM(Tableau1717[[#This Row],[Matières premières]:[Frais de livraison liés aux achats]]))</f>
        <v/>
      </c>
      <c r="I34" s="63"/>
      <c r="J34" s="63"/>
      <c r="K34" s="6" t="str">
        <f>IF(Tableau1717[[#This Row],[Libellé de la prestation de services]]="","",SUM(Tableau1717[[#This Row],[Mains d’œuvre avec charges sociales et patronales,]:[Charges locatives]]))</f>
        <v/>
      </c>
      <c r="L34" s="64"/>
      <c r="M34" s="64"/>
      <c r="N34" s="64"/>
      <c r="O34" s="64"/>
      <c r="P34" s="6" t="str">
        <f>IF(Tableau1717[[#This Row],[Libellé de la prestation de services]]="","",SUM(Tableau1354818[[#This Row],[Marketing]:[Livraison]]))</f>
        <v/>
      </c>
      <c r="Q34" s="63"/>
      <c r="R34" s="63"/>
      <c r="S34" s="63"/>
      <c r="T34" s="6" t="str">
        <f>IF(Tableau1717[[#This Row],[Libellé de la prestation de services]]="","",SUM(Tableau13455919[[#This Row],[services généraux]:[impôts]]))</f>
        <v/>
      </c>
      <c r="U34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4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4" s="10" t="str">
        <f>IF(Tableau1717[[#This Row],[Montant HT]]="","",Tableau134556571121[[#This Row],[Marge nette sur prestation ]]/Tableau1345561020[[#This Row],[Coût de revient unitaire]])</f>
        <v/>
      </c>
      <c r="X34" s="10" t="str">
        <f>IF(Tableau1717[[#This Row],[Montant HT]]="","",Tableau134556571121[[#This Row],[Marge nette sur prestation ]]/Tableau1717[[#This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IF(Tableau1717[[#This Row],[Libellé de la prestation de services]]="","",SUM(Tableau1717[[#This Row],[Matières premières]:[Frais de livraison liés aux achats]]))</f>
        <v/>
      </c>
      <c r="I35" s="63"/>
      <c r="J35" s="63"/>
      <c r="K35" s="6" t="str">
        <f>IF(Tableau1717[[#This Row],[Libellé de la prestation de services]]="","",SUM(Tableau1717[[#This Row],[Mains d’œuvre avec charges sociales et patronales,]:[Charges locatives]]))</f>
        <v/>
      </c>
      <c r="L35" s="64"/>
      <c r="M35" s="64"/>
      <c r="N35" s="64"/>
      <c r="O35" s="64"/>
      <c r="P35" s="6" t="str">
        <f>IF(Tableau1717[[#This Row],[Libellé de la prestation de services]]="","",SUM(Tableau1354818[[#This Row],[Marketing]:[Livraison]]))</f>
        <v/>
      </c>
      <c r="Q35" s="63"/>
      <c r="R35" s="63"/>
      <c r="S35" s="63"/>
      <c r="T35" s="6" t="str">
        <f>IF(Tableau1717[[#This Row],[Libellé de la prestation de services]]="","",SUM(Tableau13455919[[#This Row],[services généraux]:[impôts]]))</f>
        <v/>
      </c>
      <c r="U35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5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5" s="10" t="str">
        <f>IF(Tableau1717[[#This Row],[Montant HT]]="","",Tableau134556571121[[#This Row],[Marge nette sur prestation ]]/Tableau1345561020[[#This Row],[Coût de revient unitaire]])</f>
        <v/>
      </c>
      <c r="X35" s="10" t="str">
        <f>IF(Tableau1717[[#This Row],[Montant HT]]="","",Tableau134556571121[[#This Row],[Marge nette sur prestation ]]/Tableau1717[[#This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IF(Tableau1717[[#This Row],[Libellé de la prestation de services]]="","",SUM(Tableau1717[[#This Row],[Matières premières]:[Frais de livraison liés aux achats]]))</f>
        <v/>
      </c>
      <c r="I36" s="63"/>
      <c r="J36" s="63"/>
      <c r="K36" s="6" t="str">
        <f>IF(Tableau1717[[#This Row],[Libellé de la prestation de services]]="","",SUM(Tableau1717[[#This Row],[Mains d’œuvre avec charges sociales et patronales,]:[Charges locatives]]))</f>
        <v/>
      </c>
      <c r="L36" s="64"/>
      <c r="M36" s="64"/>
      <c r="N36" s="64"/>
      <c r="O36" s="64"/>
      <c r="P36" s="6" t="str">
        <f>IF(Tableau1717[[#This Row],[Libellé de la prestation de services]]="","",SUM(Tableau1354818[[#This Row],[Marketing]:[Livraison]]))</f>
        <v/>
      </c>
      <c r="Q36" s="63"/>
      <c r="R36" s="63"/>
      <c r="S36" s="63"/>
      <c r="T36" s="6" t="str">
        <f>IF(Tableau1717[[#This Row],[Libellé de la prestation de services]]="","",SUM(Tableau13455919[[#This Row],[services généraux]:[impôts]]))</f>
        <v/>
      </c>
      <c r="U36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6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6" s="10" t="str">
        <f>IF(Tableau1717[[#This Row],[Montant HT]]="","",Tableau134556571121[[#This Row],[Marge nette sur prestation ]]/Tableau1345561020[[#This Row],[Coût de revient unitaire]])</f>
        <v/>
      </c>
      <c r="X36" s="10" t="str">
        <f>IF(Tableau1717[[#This Row],[Montant HT]]="","",Tableau134556571121[[#This Row],[Marge nette sur prestation ]]/Tableau1717[[#This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IF(Tableau1717[[#This Row],[Libellé de la prestation de services]]="","",SUM(Tableau1717[[#This Row],[Matières premières]:[Frais de livraison liés aux achats]]))</f>
        <v/>
      </c>
      <c r="I37" s="63"/>
      <c r="J37" s="63"/>
      <c r="K37" s="6" t="str">
        <f>IF(Tableau1717[[#This Row],[Libellé de la prestation de services]]="","",SUM(Tableau1717[[#This Row],[Mains d’œuvre avec charges sociales et patronales,]:[Charges locatives]]))</f>
        <v/>
      </c>
      <c r="L37" s="64"/>
      <c r="M37" s="64"/>
      <c r="N37" s="64"/>
      <c r="O37" s="64"/>
      <c r="P37" s="6" t="str">
        <f>IF(Tableau1717[[#This Row],[Libellé de la prestation de services]]="","",SUM(Tableau1354818[[#This Row],[Marketing]:[Livraison]]))</f>
        <v/>
      </c>
      <c r="Q37" s="63"/>
      <c r="R37" s="63"/>
      <c r="S37" s="63"/>
      <c r="T37" s="6" t="str">
        <f>IF(Tableau1717[[#This Row],[Libellé de la prestation de services]]="","",SUM(Tableau13455919[[#This Row],[services généraux]:[impôts]]))</f>
        <v/>
      </c>
      <c r="U37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7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7" s="10" t="str">
        <f>IF(Tableau1717[[#This Row],[Montant HT]]="","",Tableau134556571121[[#This Row],[Marge nette sur prestation ]]/Tableau1345561020[[#This Row],[Coût de revient unitaire]])</f>
        <v/>
      </c>
      <c r="X37" s="10" t="str">
        <f>IF(Tableau1717[[#This Row],[Montant HT]]="","",Tableau134556571121[[#This Row],[Marge nette sur prestation ]]/Tableau1717[[#This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IF(Tableau1717[[#This Row],[Libellé de la prestation de services]]="","",SUM(Tableau1717[[#This Row],[Matières premières]:[Frais de livraison liés aux achats]]))</f>
        <v/>
      </c>
      <c r="I38" s="63"/>
      <c r="J38" s="63"/>
      <c r="K38" s="6" t="str">
        <f>IF(Tableau1717[[#This Row],[Libellé de la prestation de services]]="","",SUM(Tableau1717[[#This Row],[Mains d’œuvre avec charges sociales et patronales,]:[Charges locatives]]))</f>
        <v/>
      </c>
      <c r="L38" s="64"/>
      <c r="M38" s="64"/>
      <c r="N38" s="64"/>
      <c r="O38" s="64"/>
      <c r="P38" s="6" t="str">
        <f>IF(Tableau1717[[#This Row],[Libellé de la prestation de services]]="","",SUM(Tableau1354818[[#This Row],[Marketing]:[Livraison]]))</f>
        <v/>
      </c>
      <c r="Q38" s="63"/>
      <c r="R38" s="63"/>
      <c r="S38" s="63"/>
      <c r="T38" s="6" t="str">
        <f>IF(Tableau1717[[#This Row],[Libellé de la prestation de services]]="","",SUM(Tableau13455919[[#This Row],[services généraux]:[impôts]]))</f>
        <v/>
      </c>
      <c r="U38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8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8" s="10" t="str">
        <f>IF(Tableau1717[[#This Row],[Montant HT]]="","",Tableau134556571121[[#This Row],[Marge nette sur prestation ]]/Tableau1345561020[[#This Row],[Coût de revient unitaire]])</f>
        <v/>
      </c>
      <c r="X38" s="10" t="str">
        <f>IF(Tableau1717[[#This Row],[Montant HT]]="","",Tableau134556571121[[#This Row],[Marge nette sur prestation ]]/Tableau1717[[#This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IF(Tableau1717[[#This Row],[Libellé de la prestation de services]]="","",SUM(Tableau1717[[#This Row],[Matières premières]:[Frais de livraison liés aux achats]]))</f>
        <v/>
      </c>
      <c r="I39" s="63"/>
      <c r="J39" s="63"/>
      <c r="K39" s="6" t="str">
        <f>IF(Tableau1717[[#This Row],[Libellé de la prestation de services]]="","",SUM(Tableau1717[[#This Row],[Mains d’œuvre avec charges sociales et patronales,]:[Charges locatives]]))</f>
        <v/>
      </c>
      <c r="L39" s="64"/>
      <c r="M39" s="64"/>
      <c r="N39" s="64"/>
      <c r="O39" s="64"/>
      <c r="P39" s="6" t="str">
        <f>IF(Tableau1717[[#This Row],[Libellé de la prestation de services]]="","",SUM(Tableau1354818[[#This Row],[Marketing]:[Livraison]]))</f>
        <v/>
      </c>
      <c r="Q39" s="63"/>
      <c r="R39" s="63"/>
      <c r="S39" s="63"/>
      <c r="T39" s="6" t="str">
        <f>IF(Tableau1717[[#This Row],[Libellé de la prestation de services]]="","",SUM(Tableau13455919[[#This Row],[services généraux]:[impôts]]))</f>
        <v/>
      </c>
      <c r="U39" s="9" t="str">
        <f>IF(Tableau1717[[#This Row],[Libellé de la prestation de services]]="","",Tableau1717[[#This Row],[Couts d''achat et d''approvisionnement]]+Tableau1354818[[#This Row],[Coûts de production]]+Tableau13455919[[#This Row],[Coûts de commercialisation et distribution]]+Tableau1345561020[[#This Row],[Coûts administratifs]])</f>
        <v/>
      </c>
      <c r="V39" s="9" t="str">
        <f>IF(Tableau1717[[#This Row],[Libellé de la prestation de services]]="","",Tableau1717[[#This Row],[Montant HT]]-Tableau1354818[[#This Row],[Coûts de production]]-Tableau13455919[[#This Row],[Coûts de commercialisation et distribution]]-Tableau1345561020[[#This Row],[Coûts administratifs]])</f>
        <v/>
      </c>
      <c r="W39" s="10" t="str">
        <f>IF(Tableau1717[[#This Row],[Montant HT]]="","",Tableau134556571121[[#This Row],[Marge nette sur prestation ]]/Tableau1345561020[[#This Row],[Coût de revient unitaire]])</f>
        <v/>
      </c>
      <c r="X39" s="10" t="str">
        <f>IF(Tableau1717[[#This Row],[Montant HT]]="","",Tableau134556571121[[#This Row],[Marge nette sur prestation ]]/Tableau1717[[#This Row],[Montant HT]])</f>
        <v/>
      </c>
    </row>
    <row r="40" spans="1:24" ht="15.75" x14ac:dyDescent="0.25">
      <c r="A40" s="8"/>
      <c r="B40" s="8">
        <f>SUBTOTAL(103,Tableau1717[Libellé de la prestation de services])</f>
        <v>0</v>
      </c>
      <c r="C40" s="7">
        <f>SUBTOTAL(109,Tableau1717[Montant HT])</f>
        <v>0</v>
      </c>
      <c r="D40" s="7">
        <f>SUBTOTAL(109,Tableau1717[Matières premières])</f>
        <v>0</v>
      </c>
      <c r="E40" s="7">
        <f>SUBTOTAL(109,Tableau1717[Marchandises])</f>
        <v>0</v>
      </c>
      <c r="F40" s="7">
        <f>SUBTOTAL(109,Tableau1717[Consommables])</f>
        <v>0</v>
      </c>
      <c r="G40" s="7">
        <f>SUBTOTAL(109,Tableau1717[Frais de livraison liés aux achats])</f>
        <v>0</v>
      </c>
      <c r="H40" s="7">
        <f>SUBTOTAL(109,Tableau1717[Couts d''achat et d''approvisionnement])</f>
        <v>0</v>
      </c>
      <c r="I40" s="7">
        <f>SUBTOTAL(109,Tableau1717[Mains d’œuvre avec charges sociales et patronales,])</f>
        <v>0</v>
      </c>
      <c r="J40" s="7">
        <f>SUBTOTAL(109,Tableau1717[Charges locatives])</f>
        <v>0</v>
      </c>
      <c r="K40" s="7">
        <f>SUBTOTAL(109,Tableau1354818[Coûts de production])</f>
        <v>0</v>
      </c>
      <c r="L40" s="7">
        <f>SUBTOTAL(109,Tableau1354818[Marketing])</f>
        <v>0</v>
      </c>
      <c r="M40" s="7">
        <f>SUBTOTAL(109,Tableau1354818[Prospection])</f>
        <v>0</v>
      </c>
      <c r="N40" s="7">
        <f>SUBTOTAL(109,Tableau1354818[Commerciaux])</f>
        <v>0</v>
      </c>
      <c r="O40" s="7">
        <f>SUBTOTAL(109,Tableau1354818[Livraison])</f>
        <v>0</v>
      </c>
      <c r="P40" s="7">
        <f>SUBTOTAL(109,Tableau13455919[Coûts de commercialisation et distribution])</f>
        <v>0</v>
      </c>
      <c r="Q40" s="7">
        <f>SUBTOTAL(109,Tableau13455919[services généraux])</f>
        <v>0</v>
      </c>
      <c r="R40" s="7">
        <f>SUBTOTAL(109,Tableau13455919[frais divers])</f>
        <v>0</v>
      </c>
      <c r="S40" s="7">
        <f>SUBTOTAL(109,Tableau13455919[impôts])</f>
        <v>0</v>
      </c>
      <c r="T40" s="7">
        <f>SUBTOTAL(109,Tableau1345561020[Coûts administratifs])</f>
        <v>0</v>
      </c>
      <c r="U40" s="7">
        <f>SUBTOTAL(109,Tableau1345561020[Coût de revient unitaire])</f>
        <v>0</v>
      </c>
      <c r="V40" s="7">
        <f>SUBTOTAL(109,Tableau134556571121[[Marge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19" style="1" customWidth="1"/>
    <col min="2" max="2" width="24" style="1" customWidth="1"/>
    <col min="3" max="3" width="15.7109375" style="1" customWidth="1"/>
    <col min="4" max="4" width="13.7109375" style="1" customWidth="1"/>
    <col min="5" max="5" width="17.140625" style="1" customWidth="1"/>
    <col min="6" max="6" width="19" style="1" customWidth="1"/>
    <col min="7" max="7" width="16.5703125" style="1" customWidth="1"/>
    <col min="8" max="8" width="26.5703125" style="1" customWidth="1"/>
    <col min="9" max="9" width="25.140625" style="1" customWidth="1"/>
    <col min="10" max="10" width="13" style="1" customWidth="1"/>
    <col min="11" max="11" width="14.5703125" style="1" customWidth="1"/>
    <col min="12" max="12" width="14.85546875" style="1" customWidth="1"/>
    <col min="13" max="13" width="14.42578125" style="1" customWidth="1"/>
    <col min="14" max="14" width="18" style="1" customWidth="1"/>
    <col min="15" max="15" width="13.28515625" style="1" customWidth="1"/>
    <col min="16" max="16" width="22.140625" style="1" customWidth="1"/>
    <col min="17" max="17" width="11.85546875" style="1" customWidth="1"/>
    <col min="18" max="18" width="11.5703125" style="1" customWidth="1"/>
    <col min="19" max="19" width="10.5703125" style="1" customWidth="1"/>
    <col min="20" max="20" width="17.28515625" style="1" customWidth="1"/>
    <col min="21" max="21" width="18.85546875" style="1" customWidth="1"/>
    <col min="22" max="22" width="16.42578125" style="1" bestFit="1" customWidth="1"/>
    <col min="23" max="23" width="11.28515625" style="1" customWidth="1"/>
    <col min="24" max="24" width="12" style="1" customWidth="1"/>
    <col min="25" max="16384" width="11.42578125" style="1"/>
  </cols>
  <sheetData>
    <row r="1" spans="1:24" ht="79.5" customHeight="1" x14ac:dyDescent="0.25">
      <c r="A1" s="3"/>
      <c r="B1" s="52" t="s">
        <v>0</v>
      </c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5" t="s">
        <v>2</v>
      </c>
      <c r="M1" s="56"/>
      <c r="N1" s="56"/>
      <c r="O1" s="56"/>
      <c r="P1" s="56"/>
      <c r="Q1" s="56"/>
      <c r="R1" s="56"/>
      <c r="S1" s="56"/>
      <c r="T1" s="57"/>
      <c r="U1" s="5" t="s">
        <v>4</v>
      </c>
      <c r="V1" s="54" t="s">
        <v>5</v>
      </c>
      <c r="W1" s="54"/>
      <c r="X1" s="54"/>
    </row>
    <row r="2" spans="1:24" s="12" customFormat="1" ht="45" x14ac:dyDescent="0.25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3</v>
      </c>
      <c r="U2" s="11" t="s">
        <v>25</v>
      </c>
      <c r="V2" s="11" t="s">
        <v>26</v>
      </c>
      <c r="W2" s="11" t="s">
        <v>27</v>
      </c>
      <c r="X2" s="11" t="s">
        <v>28</v>
      </c>
    </row>
    <row r="3" spans="1:24" ht="15.75" x14ac:dyDescent="0.25">
      <c r="A3" s="61"/>
      <c r="B3" s="62"/>
      <c r="C3" s="63"/>
      <c r="D3" s="63"/>
      <c r="E3" s="63"/>
      <c r="F3" s="63"/>
      <c r="G3" s="63"/>
      <c r="H3" s="6" t="str">
        <f>IF(Tableau1722[[#This Row],[Libellé de la prestation de services]]="","",SUM(Tableau1722[[#This Row],[Matières premières]:[Frais de livraison liés aux achats]]))</f>
        <v/>
      </c>
      <c r="I3" s="63"/>
      <c r="J3" s="63"/>
      <c r="K3" s="6" t="str">
        <f>IF(Tableau1722[[#This Row],[Libellé de la prestation de services]]="","",SUM(Tableau1722[[#This Row],[Mains d’œuvre avec charges sociales et patronales,]:[Charges locatives]]))</f>
        <v/>
      </c>
      <c r="L3" s="64"/>
      <c r="M3" s="64"/>
      <c r="N3" s="64"/>
      <c r="O3" s="64"/>
      <c r="P3" s="6" t="str">
        <f>IF(Tableau1722[[#This Row],[Libellé de la prestation de services]]="","",SUM(Tableau1354823[[#This Row],[Marketing]:[Livraison]]))</f>
        <v/>
      </c>
      <c r="Q3" s="63"/>
      <c r="R3" s="63"/>
      <c r="S3" s="63"/>
      <c r="T3" s="6" t="str">
        <f>IF(Tableau1722[[#This Row],[Libellé de la prestation de services]]="","",SUM(Tableau13455924[[#This Row],[services généraux]:[impôts]]))</f>
        <v/>
      </c>
      <c r="U3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" s="10" t="str">
        <f>IF(Tableau1722[[#This Row],[Montant HT]]="","",Tableau134556571126[[#This Row],[Marge nette sur prestation ]]/Tableau1345561025[[#This Row],[Coût de revient unitaire]])</f>
        <v/>
      </c>
      <c r="X3" s="10" t="str">
        <f>IF(Tableau1722[[#This Row],[Montant HT]]="","",Tableau134556571126[[#This Row],[Marge nette sur prestation ]]/Tableau1722[[#This Row],[Montant HT]])</f>
        <v/>
      </c>
    </row>
    <row r="4" spans="1:24" ht="15.75" x14ac:dyDescent="0.25">
      <c r="A4" s="61"/>
      <c r="B4" s="62"/>
      <c r="C4" s="63"/>
      <c r="D4" s="63"/>
      <c r="E4" s="63"/>
      <c r="F4" s="63"/>
      <c r="G4" s="63"/>
      <c r="H4" s="6" t="str">
        <f>IF(Tableau1722[[#This Row],[Libellé de la prestation de services]]="","",SUM(Tableau1722[[#This Row],[Matières premières]:[Frais de livraison liés aux achats]]))</f>
        <v/>
      </c>
      <c r="I4" s="63"/>
      <c r="J4" s="63"/>
      <c r="K4" s="6" t="str">
        <f>IF(Tableau1722[[#This Row],[Libellé de la prestation de services]]="","",SUM(Tableau1722[[#This Row],[Mains d’œuvre avec charges sociales et patronales,]:[Charges locatives]]))</f>
        <v/>
      </c>
      <c r="L4" s="64"/>
      <c r="M4" s="64"/>
      <c r="N4" s="64"/>
      <c r="O4" s="64"/>
      <c r="P4" s="6" t="str">
        <f>IF(Tableau1722[[#This Row],[Libellé de la prestation de services]]="","",SUM(Tableau1354823[[#This Row],[Marketing]:[Livraison]]))</f>
        <v/>
      </c>
      <c r="Q4" s="63"/>
      <c r="R4" s="63"/>
      <c r="S4" s="63"/>
      <c r="T4" s="6" t="str">
        <f>IF(Tableau1722[[#This Row],[Libellé de la prestation de services]]="","",SUM(Tableau13455924[[#This Row],[services généraux]:[impôts]]))</f>
        <v/>
      </c>
      <c r="U4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4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4" s="10" t="str">
        <f>IF(Tableau1722[[#This Row],[Montant HT]]="","",Tableau134556571126[[#This Row],[Marge nette sur prestation ]]/Tableau1345561025[[#This Row],[Coût de revient unitaire]])</f>
        <v/>
      </c>
      <c r="X4" s="10" t="str">
        <f>IF(Tableau1722[[#This Row],[Montant HT]]="","",Tableau134556571126[[#This Row],[Marge nette sur prestation ]]/Tableau1722[[#This Row],[Montant HT]])</f>
        <v/>
      </c>
    </row>
    <row r="5" spans="1:24" ht="15.75" x14ac:dyDescent="0.25">
      <c r="A5" s="61"/>
      <c r="B5" s="62"/>
      <c r="C5" s="63"/>
      <c r="D5" s="63"/>
      <c r="E5" s="63"/>
      <c r="F5" s="63"/>
      <c r="G5" s="63"/>
      <c r="H5" s="6" t="str">
        <f>IF(Tableau1722[[#This Row],[Libellé de la prestation de services]]="","",SUM(Tableau1722[[#This Row],[Matières premières]:[Frais de livraison liés aux achats]]))</f>
        <v/>
      </c>
      <c r="I5" s="63"/>
      <c r="J5" s="63"/>
      <c r="K5" s="6" t="str">
        <f>IF(Tableau1722[[#This Row],[Libellé de la prestation de services]]="","",SUM(Tableau1722[[#This Row],[Mains d’œuvre avec charges sociales et patronales,]:[Charges locatives]]))</f>
        <v/>
      </c>
      <c r="L5" s="64"/>
      <c r="M5" s="64"/>
      <c r="N5" s="64"/>
      <c r="O5" s="64"/>
      <c r="P5" s="6" t="str">
        <f>IF(Tableau1722[[#This Row],[Libellé de la prestation de services]]="","",SUM(Tableau1354823[[#This Row],[Marketing]:[Livraison]]))</f>
        <v/>
      </c>
      <c r="Q5" s="63"/>
      <c r="R5" s="63"/>
      <c r="S5" s="63"/>
      <c r="T5" s="6" t="str">
        <f>IF(Tableau1722[[#This Row],[Libellé de la prestation de services]]="","",SUM(Tableau13455924[[#This Row],[services généraux]:[impôts]]))</f>
        <v/>
      </c>
      <c r="U5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5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5" s="10" t="str">
        <f>IF(Tableau1722[[#This Row],[Montant HT]]="","",Tableau134556571126[[#This Row],[Marge nette sur prestation ]]/Tableau1345561025[[#This Row],[Coût de revient unitaire]])</f>
        <v/>
      </c>
      <c r="X5" s="10" t="str">
        <f>IF(Tableau1722[[#This Row],[Montant HT]]="","",Tableau134556571126[[#This Row],[Marge nette sur prestation ]]/Tableau1722[[#This Row],[Montant HT]])</f>
        <v/>
      </c>
    </row>
    <row r="6" spans="1:24" ht="15.75" x14ac:dyDescent="0.25">
      <c r="A6" s="61"/>
      <c r="B6" s="62"/>
      <c r="C6" s="63"/>
      <c r="D6" s="63"/>
      <c r="E6" s="63"/>
      <c r="F6" s="63"/>
      <c r="G6" s="63"/>
      <c r="H6" s="6" t="str">
        <f>IF(Tableau1722[[#This Row],[Libellé de la prestation de services]]="","",SUM(Tableau1722[[#This Row],[Matières premières]:[Frais de livraison liés aux achats]]))</f>
        <v/>
      </c>
      <c r="I6" s="63"/>
      <c r="J6" s="63"/>
      <c r="K6" s="6" t="str">
        <f>IF(Tableau1722[[#This Row],[Libellé de la prestation de services]]="","",SUM(Tableau1722[[#This Row],[Mains d’œuvre avec charges sociales et patronales,]:[Charges locatives]]))</f>
        <v/>
      </c>
      <c r="L6" s="64"/>
      <c r="M6" s="64"/>
      <c r="N6" s="64"/>
      <c r="O6" s="64"/>
      <c r="P6" s="6" t="str">
        <f>IF(Tableau1722[[#This Row],[Libellé de la prestation de services]]="","",SUM(Tableau1354823[[#This Row],[Marketing]:[Livraison]]))</f>
        <v/>
      </c>
      <c r="Q6" s="63"/>
      <c r="R6" s="63"/>
      <c r="S6" s="63"/>
      <c r="T6" s="6" t="str">
        <f>IF(Tableau1722[[#This Row],[Libellé de la prestation de services]]="","",SUM(Tableau13455924[[#This Row],[services généraux]:[impôts]]))</f>
        <v/>
      </c>
      <c r="U6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6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6" s="10" t="str">
        <f>IF(Tableau1722[[#This Row],[Montant HT]]="","",Tableau134556571126[[#This Row],[Marge nette sur prestation ]]/Tableau1345561025[[#This Row],[Coût de revient unitaire]])</f>
        <v/>
      </c>
      <c r="X6" s="10" t="str">
        <f>IF(Tableau1722[[#This Row],[Montant HT]]="","",Tableau134556571126[[#This Row],[Marge nette sur prestation ]]/Tableau1722[[#This Row],[Montant HT]])</f>
        <v/>
      </c>
    </row>
    <row r="7" spans="1:24" ht="15.75" x14ac:dyDescent="0.25">
      <c r="A7" s="61"/>
      <c r="B7" s="62"/>
      <c r="C7" s="63"/>
      <c r="D7" s="63"/>
      <c r="E7" s="63"/>
      <c r="F7" s="63"/>
      <c r="G7" s="63"/>
      <c r="H7" s="6" t="str">
        <f>IF(Tableau1722[[#This Row],[Libellé de la prestation de services]]="","",SUM(Tableau1722[[#This Row],[Matières premières]:[Frais de livraison liés aux achats]]))</f>
        <v/>
      </c>
      <c r="I7" s="63"/>
      <c r="J7" s="63"/>
      <c r="K7" s="6" t="str">
        <f>IF(Tableau1722[[#This Row],[Libellé de la prestation de services]]="","",SUM(Tableau1722[[#This Row],[Mains d’œuvre avec charges sociales et patronales,]:[Charges locatives]]))</f>
        <v/>
      </c>
      <c r="L7" s="64"/>
      <c r="M7" s="64"/>
      <c r="N7" s="64"/>
      <c r="O7" s="64"/>
      <c r="P7" s="6" t="str">
        <f>IF(Tableau1722[[#This Row],[Libellé de la prestation de services]]="","",SUM(Tableau1354823[[#This Row],[Marketing]:[Livraison]]))</f>
        <v/>
      </c>
      <c r="Q7" s="63"/>
      <c r="R7" s="63"/>
      <c r="S7" s="63"/>
      <c r="T7" s="6" t="str">
        <f>IF(Tableau1722[[#This Row],[Libellé de la prestation de services]]="","",SUM(Tableau13455924[[#This Row],[services généraux]:[impôts]]))</f>
        <v/>
      </c>
      <c r="U7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7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7" s="10" t="str">
        <f>IF(Tableau1722[[#This Row],[Montant HT]]="","",Tableau134556571126[[#This Row],[Marge nette sur prestation ]]/Tableau1345561025[[#This Row],[Coût de revient unitaire]])</f>
        <v/>
      </c>
      <c r="X7" s="10" t="str">
        <f>IF(Tableau1722[[#This Row],[Montant HT]]="","",Tableau134556571126[[#This Row],[Marge nette sur prestation ]]/Tableau1722[[#This Row],[Montant HT]])</f>
        <v/>
      </c>
    </row>
    <row r="8" spans="1:24" ht="15.75" x14ac:dyDescent="0.25">
      <c r="A8" s="61"/>
      <c r="B8" s="62"/>
      <c r="C8" s="63"/>
      <c r="D8" s="63"/>
      <c r="E8" s="63"/>
      <c r="F8" s="63"/>
      <c r="G8" s="63"/>
      <c r="H8" s="6" t="str">
        <f>IF(Tableau1722[[#This Row],[Libellé de la prestation de services]]="","",SUM(Tableau1722[[#This Row],[Matières premières]:[Frais de livraison liés aux achats]]))</f>
        <v/>
      </c>
      <c r="I8" s="63"/>
      <c r="J8" s="63"/>
      <c r="K8" s="6" t="str">
        <f>IF(Tableau1722[[#This Row],[Libellé de la prestation de services]]="","",SUM(Tableau1722[[#This Row],[Mains d’œuvre avec charges sociales et patronales,]:[Charges locatives]]))</f>
        <v/>
      </c>
      <c r="L8" s="64"/>
      <c r="M8" s="64"/>
      <c r="N8" s="64"/>
      <c r="O8" s="64"/>
      <c r="P8" s="6" t="str">
        <f>IF(Tableau1722[[#This Row],[Libellé de la prestation de services]]="","",SUM(Tableau1354823[[#This Row],[Marketing]:[Livraison]]))</f>
        <v/>
      </c>
      <c r="Q8" s="63"/>
      <c r="R8" s="63"/>
      <c r="S8" s="63"/>
      <c r="T8" s="6" t="str">
        <f>IF(Tableau1722[[#This Row],[Libellé de la prestation de services]]="","",SUM(Tableau13455924[[#This Row],[services généraux]:[impôts]]))</f>
        <v/>
      </c>
      <c r="U8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8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8" s="10" t="str">
        <f>IF(Tableau1722[[#This Row],[Montant HT]]="","",Tableau134556571126[[#This Row],[Marge nette sur prestation ]]/Tableau1345561025[[#This Row],[Coût de revient unitaire]])</f>
        <v/>
      </c>
      <c r="X8" s="10" t="str">
        <f>IF(Tableau1722[[#This Row],[Montant HT]]="","",Tableau134556571126[[#This Row],[Marge nette sur prestation ]]/Tableau1722[[#This Row],[Montant HT]])</f>
        <v/>
      </c>
    </row>
    <row r="9" spans="1:24" ht="15.75" x14ac:dyDescent="0.25">
      <c r="A9" s="61"/>
      <c r="B9" s="62"/>
      <c r="C9" s="63"/>
      <c r="D9" s="63"/>
      <c r="E9" s="63"/>
      <c r="F9" s="63"/>
      <c r="G9" s="63"/>
      <c r="H9" s="6" t="str">
        <f>IF(Tableau1722[[#This Row],[Libellé de la prestation de services]]="","",SUM(Tableau1722[[#This Row],[Matières premières]:[Frais de livraison liés aux achats]]))</f>
        <v/>
      </c>
      <c r="I9" s="63"/>
      <c r="J9" s="63"/>
      <c r="K9" s="6" t="str">
        <f>IF(Tableau1722[[#This Row],[Libellé de la prestation de services]]="","",SUM(Tableau1722[[#This Row],[Mains d’œuvre avec charges sociales et patronales,]:[Charges locatives]]))</f>
        <v/>
      </c>
      <c r="L9" s="64"/>
      <c r="M9" s="64"/>
      <c r="N9" s="64"/>
      <c r="O9" s="64"/>
      <c r="P9" s="6" t="str">
        <f>IF(Tableau1722[[#This Row],[Libellé de la prestation de services]]="","",SUM(Tableau1354823[[#This Row],[Marketing]:[Livraison]]))</f>
        <v/>
      </c>
      <c r="Q9" s="63"/>
      <c r="R9" s="63"/>
      <c r="S9" s="63"/>
      <c r="T9" s="6" t="str">
        <f>IF(Tableau1722[[#This Row],[Libellé de la prestation de services]]="","",SUM(Tableau13455924[[#This Row],[services généraux]:[impôts]]))</f>
        <v/>
      </c>
      <c r="U9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9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9" s="10" t="str">
        <f>IF(Tableau1722[[#This Row],[Montant HT]]="","",Tableau134556571126[[#This Row],[Marge nette sur prestation ]]/Tableau1345561025[[#This Row],[Coût de revient unitaire]])</f>
        <v/>
      </c>
      <c r="X9" s="10" t="str">
        <f>IF(Tableau1722[[#This Row],[Montant HT]]="","",Tableau134556571126[[#This Row],[Marge nette sur prestation ]]/Tableau1722[[#This Row],[Montant HT]])</f>
        <v/>
      </c>
    </row>
    <row r="10" spans="1:24" ht="15.75" x14ac:dyDescent="0.25">
      <c r="A10" s="61"/>
      <c r="B10" s="62"/>
      <c r="C10" s="63"/>
      <c r="D10" s="63"/>
      <c r="E10" s="63"/>
      <c r="F10" s="63"/>
      <c r="G10" s="63"/>
      <c r="H10" s="6" t="str">
        <f>IF(Tableau1722[[#This Row],[Libellé de la prestation de services]]="","",SUM(Tableau1722[[#This Row],[Matières premières]:[Frais de livraison liés aux achats]]))</f>
        <v/>
      </c>
      <c r="I10" s="63"/>
      <c r="J10" s="63"/>
      <c r="K10" s="6" t="str">
        <f>IF(Tableau1722[[#This Row],[Libellé de la prestation de services]]="","",SUM(Tableau1722[[#This Row],[Mains d’œuvre avec charges sociales et patronales,]:[Charges locatives]]))</f>
        <v/>
      </c>
      <c r="L10" s="64"/>
      <c r="M10" s="64"/>
      <c r="N10" s="64"/>
      <c r="O10" s="64"/>
      <c r="P10" s="6" t="str">
        <f>IF(Tableau1722[[#This Row],[Libellé de la prestation de services]]="","",SUM(Tableau1354823[[#This Row],[Marketing]:[Livraison]]))</f>
        <v/>
      </c>
      <c r="Q10" s="63"/>
      <c r="R10" s="63"/>
      <c r="S10" s="63"/>
      <c r="T10" s="6" t="str">
        <f>IF(Tableau1722[[#This Row],[Libellé de la prestation de services]]="","",SUM(Tableau13455924[[#This Row],[services généraux]:[impôts]]))</f>
        <v/>
      </c>
      <c r="U10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0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0" s="10" t="str">
        <f>IF(Tableau1722[[#This Row],[Montant HT]]="","",Tableau134556571126[[#This Row],[Marge nette sur prestation ]]/Tableau1345561025[[#This Row],[Coût de revient unitaire]])</f>
        <v/>
      </c>
      <c r="X10" s="10" t="str">
        <f>IF(Tableau1722[[#This Row],[Montant HT]]="","",Tableau134556571126[[#This Row],[Marge nette sur prestation ]]/Tableau1722[[#This Row],[Montant HT]])</f>
        <v/>
      </c>
    </row>
    <row r="11" spans="1:24" ht="15.75" x14ac:dyDescent="0.25">
      <c r="A11" s="61"/>
      <c r="B11" s="62"/>
      <c r="C11" s="63"/>
      <c r="D11" s="63"/>
      <c r="E11" s="63"/>
      <c r="F11" s="63"/>
      <c r="G11" s="63"/>
      <c r="H11" s="6" t="str">
        <f>IF(Tableau1722[[#This Row],[Libellé de la prestation de services]]="","",SUM(Tableau1722[[#This Row],[Matières premières]:[Frais de livraison liés aux achats]]))</f>
        <v/>
      </c>
      <c r="I11" s="63"/>
      <c r="J11" s="63"/>
      <c r="K11" s="6" t="str">
        <f>IF(Tableau1722[[#This Row],[Libellé de la prestation de services]]="","",SUM(Tableau1722[[#This Row],[Mains d’œuvre avec charges sociales et patronales,]:[Charges locatives]]))</f>
        <v/>
      </c>
      <c r="L11" s="64"/>
      <c r="M11" s="64"/>
      <c r="N11" s="64"/>
      <c r="O11" s="64"/>
      <c r="P11" s="6" t="str">
        <f>IF(Tableau1722[[#This Row],[Libellé de la prestation de services]]="","",SUM(Tableau1354823[[#This Row],[Marketing]:[Livraison]]))</f>
        <v/>
      </c>
      <c r="Q11" s="63"/>
      <c r="R11" s="63"/>
      <c r="S11" s="63"/>
      <c r="T11" s="6" t="str">
        <f>IF(Tableau1722[[#This Row],[Libellé de la prestation de services]]="","",SUM(Tableau13455924[[#This Row],[services généraux]:[impôts]]))</f>
        <v/>
      </c>
      <c r="U11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1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1" s="10" t="str">
        <f>IF(Tableau1722[[#This Row],[Montant HT]]="","",Tableau134556571126[[#This Row],[Marge nette sur prestation ]]/Tableau1345561025[[#This Row],[Coût de revient unitaire]])</f>
        <v/>
      </c>
      <c r="X11" s="10" t="str">
        <f>IF(Tableau1722[[#This Row],[Montant HT]]="","",Tableau134556571126[[#This Row],[Marge nette sur prestation ]]/Tableau1722[[#This Row],[Montant HT]])</f>
        <v/>
      </c>
    </row>
    <row r="12" spans="1:24" ht="15.75" x14ac:dyDescent="0.25">
      <c r="A12" s="61"/>
      <c r="B12" s="62"/>
      <c r="C12" s="63"/>
      <c r="D12" s="63"/>
      <c r="E12" s="63"/>
      <c r="F12" s="63"/>
      <c r="G12" s="63"/>
      <c r="H12" s="6" t="str">
        <f>IF(Tableau1722[[#This Row],[Libellé de la prestation de services]]="","",SUM(Tableau1722[[#This Row],[Matières premières]:[Frais de livraison liés aux achats]]))</f>
        <v/>
      </c>
      <c r="I12" s="63"/>
      <c r="J12" s="63"/>
      <c r="K12" s="6" t="str">
        <f>IF(Tableau1722[[#This Row],[Libellé de la prestation de services]]="","",SUM(Tableau1722[[#This Row],[Mains d’œuvre avec charges sociales et patronales,]:[Charges locatives]]))</f>
        <v/>
      </c>
      <c r="L12" s="64"/>
      <c r="M12" s="64"/>
      <c r="N12" s="64"/>
      <c r="O12" s="64"/>
      <c r="P12" s="6" t="str">
        <f>IF(Tableau1722[[#This Row],[Libellé de la prestation de services]]="","",SUM(Tableau1354823[[#This Row],[Marketing]:[Livraison]]))</f>
        <v/>
      </c>
      <c r="Q12" s="63"/>
      <c r="R12" s="63"/>
      <c r="S12" s="63"/>
      <c r="T12" s="6" t="str">
        <f>IF(Tableau1722[[#This Row],[Libellé de la prestation de services]]="","",SUM(Tableau13455924[[#This Row],[services généraux]:[impôts]]))</f>
        <v/>
      </c>
      <c r="U12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2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2" s="10" t="str">
        <f>IF(Tableau1722[[#This Row],[Montant HT]]="","",Tableau134556571126[[#This Row],[Marge nette sur prestation ]]/Tableau1345561025[[#This Row],[Coût de revient unitaire]])</f>
        <v/>
      </c>
      <c r="X12" s="10" t="str">
        <f>IF(Tableau1722[[#This Row],[Montant HT]]="","",Tableau134556571126[[#This Row],[Marge nette sur prestation ]]/Tableau1722[[#This Row],[Montant HT]])</f>
        <v/>
      </c>
    </row>
    <row r="13" spans="1:24" ht="15.75" x14ac:dyDescent="0.25">
      <c r="A13" s="61"/>
      <c r="B13" s="62"/>
      <c r="C13" s="63"/>
      <c r="D13" s="63"/>
      <c r="E13" s="63"/>
      <c r="F13" s="63"/>
      <c r="G13" s="63"/>
      <c r="H13" s="6" t="str">
        <f>IF(Tableau1722[[#This Row],[Libellé de la prestation de services]]="","",SUM(Tableau1722[[#This Row],[Matières premières]:[Frais de livraison liés aux achats]]))</f>
        <v/>
      </c>
      <c r="I13" s="63"/>
      <c r="J13" s="63"/>
      <c r="K13" s="6" t="str">
        <f>IF(Tableau1722[[#This Row],[Libellé de la prestation de services]]="","",SUM(Tableau1722[[#This Row],[Mains d’œuvre avec charges sociales et patronales,]:[Charges locatives]]))</f>
        <v/>
      </c>
      <c r="L13" s="64"/>
      <c r="M13" s="64"/>
      <c r="N13" s="64"/>
      <c r="O13" s="64"/>
      <c r="P13" s="6" t="str">
        <f>IF(Tableau1722[[#This Row],[Libellé de la prestation de services]]="","",SUM(Tableau1354823[[#This Row],[Marketing]:[Livraison]]))</f>
        <v/>
      </c>
      <c r="Q13" s="63"/>
      <c r="R13" s="63"/>
      <c r="S13" s="63"/>
      <c r="T13" s="6" t="str">
        <f>IF(Tableau1722[[#This Row],[Libellé de la prestation de services]]="","",SUM(Tableau13455924[[#This Row],[services généraux]:[impôts]]))</f>
        <v/>
      </c>
      <c r="U13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3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3" s="10" t="str">
        <f>IF(Tableau1722[[#This Row],[Montant HT]]="","",Tableau134556571126[[#This Row],[Marge nette sur prestation ]]/Tableau1345561025[[#This Row],[Coût de revient unitaire]])</f>
        <v/>
      </c>
      <c r="X13" s="10" t="str">
        <f>IF(Tableau1722[[#This Row],[Montant HT]]="","",Tableau134556571126[[#This Row],[Marge nette sur prestation ]]/Tableau1722[[#This Row],[Montant HT]])</f>
        <v/>
      </c>
    </row>
    <row r="14" spans="1:24" ht="15.75" x14ac:dyDescent="0.25">
      <c r="A14" s="61"/>
      <c r="B14" s="62"/>
      <c r="C14" s="63"/>
      <c r="D14" s="63"/>
      <c r="E14" s="63"/>
      <c r="F14" s="63"/>
      <c r="G14" s="63"/>
      <c r="H14" s="6" t="str">
        <f>IF(Tableau1722[[#This Row],[Libellé de la prestation de services]]="","",SUM(Tableau1722[[#This Row],[Matières premières]:[Frais de livraison liés aux achats]]))</f>
        <v/>
      </c>
      <c r="I14" s="63"/>
      <c r="J14" s="63"/>
      <c r="K14" s="6" t="str">
        <f>IF(Tableau1722[[#This Row],[Libellé de la prestation de services]]="","",SUM(Tableau1722[[#This Row],[Mains d’œuvre avec charges sociales et patronales,]:[Charges locatives]]))</f>
        <v/>
      </c>
      <c r="L14" s="64"/>
      <c r="M14" s="64"/>
      <c r="N14" s="64"/>
      <c r="O14" s="64"/>
      <c r="P14" s="6" t="str">
        <f>IF(Tableau1722[[#This Row],[Libellé de la prestation de services]]="","",SUM(Tableau1354823[[#This Row],[Marketing]:[Livraison]]))</f>
        <v/>
      </c>
      <c r="Q14" s="63"/>
      <c r="R14" s="63"/>
      <c r="S14" s="63"/>
      <c r="T14" s="6" t="str">
        <f>IF(Tableau1722[[#This Row],[Libellé de la prestation de services]]="","",SUM(Tableau13455924[[#This Row],[services généraux]:[impôts]]))</f>
        <v/>
      </c>
      <c r="U14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4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4" s="10" t="str">
        <f>IF(Tableau1722[[#This Row],[Montant HT]]="","",Tableau134556571126[[#This Row],[Marge nette sur prestation ]]/Tableau1345561025[[#This Row],[Coût de revient unitaire]])</f>
        <v/>
      </c>
      <c r="X14" s="10" t="str">
        <f>IF(Tableau1722[[#This Row],[Montant HT]]="","",Tableau134556571126[[#This Row],[Marge nette sur prestation ]]/Tableau1722[[#This Row],[Montant HT]])</f>
        <v/>
      </c>
    </row>
    <row r="15" spans="1:24" ht="15.75" x14ac:dyDescent="0.25">
      <c r="A15" s="61"/>
      <c r="B15" s="62"/>
      <c r="C15" s="63"/>
      <c r="D15" s="63"/>
      <c r="E15" s="63"/>
      <c r="F15" s="63"/>
      <c r="G15" s="63"/>
      <c r="H15" s="6" t="str">
        <f>IF(Tableau1722[[#This Row],[Libellé de la prestation de services]]="","",SUM(Tableau1722[[#This Row],[Matières premières]:[Frais de livraison liés aux achats]]))</f>
        <v/>
      </c>
      <c r="I15" s="63"/>
      <c r="J15" s="63"/>
      <c r="K15" s="6" t="str">
        <f>IF(Tableau1722[[#This Row],[Libellé de la prestation de services]]="","",SUM(Tableau1722[[#This Row],[Mains d’œuvre avec charges sociales et patronales,]:[Charges locatives]]))</f>
        <v/>
      </c>
      <c r="L15" s="64"/>
      <c r="M15" s="64"/>
      <c r="N15" s="64"/>
      <c r="O15" s="64"/>
      <c r="P15" s="6" t="str">
        <f>IF(Tableau1722[[#This Row],[Libellé de la prestation de services]]="","",SUM(Tableau1354823[[#This Row],[Marketing]:[Livraison]]))</f>
        <v/>
      </c>
      <c r="Q15" s="63"/>
      <c r="R15" s="63"/>
      <c r="S15" s="63"/>
      <c r="T15" s="6" t="str">
        <f>IF(Tableau1722[[#This Row],[Libellé de la prestation de services]]="","",SUM(Tableau13455924[[#This Row],[services généraux]:[impôts]]))</f>
        <v/>
      </c>
      <c r="U15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5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5" s="10" t="str">
        <f>IF(Tableau1722[[#This Row],[Montant HT]]="","",Tableau134556571126[[#This Row],[Marge nette sur prestation ]]/Tableau1345561025[[#This Row],[Coût de revient unitaire]])</f>
        <v/>
      </c>
      <c r="X15" s="10" t="str">
        <f>IF(Tableau1722[[#This Row],[Montant HT]]="","",Tableau134556571126[[#This Row],[Marge nette sur prestation ]]/Tableau1722[[#This Row],[Montant HT]])</f>
        <v/>
      </c>
    </row>
    <row r="16" spans="1:24" ht="15.75" x14ac:dyDescent="0.25">
      <c r="A16" s="61"/>
      <c r="B16" s="62"/>
      <c r="C16" s="63"/>
      <c r="D16" s="63"/>
      <c r="E16" s="63"/>
      <c r="F16" s="63"/>
      <c r="G16" s="63"/>
      <c r="H16" s="6" t="str">
        <f>IF(Tableau1722[[#This Row],[Libellé de la prestation de services]]="","",SUM(Tableau1722[[#This Row],[Matières premières]:[Frais de livraison liés aux achats]]))</f>
        <v/>
      </c>
      <c r="I16" s="63"/>
      <c r="J16" s="63"/>
      <c r="K16" s="6" t="str">
        <f>IF(Tableau1722[[#This Row],[Libellé de la prestation de services]]="","",SUM(Tableau1722[[#This Row],[Mains d’œuvre avec charges sociales et patronales,]:[Charges locatives]]))</f>
        <v/>
      </c>
      <c r="L16" s="64"/>
      <c r="M16" s="64"/>
      <c r="N16" s="64"/>
      <c r="O16" s="64"/>
      <c r="P16" s="6" t="str">
        <f>IF(Tableau1722[[#This Row],[Libellé de la prestation de services]]="","",SUM(Tableau1354823[[#This Row],[Marketing]:[Livraison]]))</f>
        <v/>
      </c>
      <c r="Q16" s="63"/>
      <c r="R16" s="63"/>
      <c r="S16" s="63"/>
      <c r="T16" s="6" t="str">
        <f>IF(Tableau1722[[#This Row],[Libellé de la prestation de services]]="","",SUM(Tableau13455924[[#This Row],[services généraux]:[impôts]]))</f>
        <v/>
      </c>
      <c r="U16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6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6" s="10" t="str">
        <f>IF(Tableau1722[[#This Row],[Montant HT]]="","",Tableau134556571126[[#This Row],[Marge nette sur prestation ]]/Tableau1345561025[[#This Row],[Coût de revient unitaire]])</f>
        <v/>
      </c>
      <c r="X16" s="10" t="str">
        <f>IF(Tableau1722[[#This Row],[Montant HT]]="","",Tableau134556571126[[#This Row],[Marge nette sur prestation ]]/Tableau1722[[#This Row],[Montant HT]])</f>
        <v/>
      </c>
    </row>
    <row r="17" spans="1:24" ht="15.75" x14ac:dyDescent="0.25">
      <c r="A17" s="61"/>
      <c r="B17" s="62"/>
      <c r="C17" s="63"/>
      <c r="D17" s="63"/>
      <c r="E17" s="63"/>
      <c r="F17" s="63"/>
      <c r="G17" s="63"/>
      <c r="H17" s="6" t="str">
        <f>IF(Tableau1722[[#This Row],[Libellé de la prestation de services]]="","",SUM(Tableau1722[[#This Row],[Matières premières]:[Frais de livraison liés aux achats]]))</f>
        <v/>
      </c>
      <c r="I17" s="63"/>
      <c r="J17" s="63"/>
      <c r="K17" s="6" t="str">
        <f>IF(Tableau1722[[#This Row],[Libellé de la prestation de services]]="","",SUM(Tableau1722[[#This Row],[Mains d’œuvre avec charges sociales et patronales,]:[Charges locatives]]))</f>
        <v/>
      </c>
      <c r="L17" s="64"/>
      <c r="M17" s="64"/>
      <c r="N17" s="64"/>
      <c r="O17" s="64"/>
      <c r="P17" s="6" t="str">
        <f>IF(Tableau1722[[#This Row],[Libellé de la prestation de services]]="","",SUM(Tableau1354823[[#This Row],[Marketing]:[Livraison]]))</f>
        <v/>
      </c>
      <c r="Q17" s="63"/>
      <c r="R17" s="63"/>
      <c r="S17" s="63"/>
      <c r="T17" s="6" t="str">
        <f>IF(Tableau1722[[#This Row],[Libellé de la prestation de services]]="","",SUM(Tableau13455924[[#This Row],[services généraux]:[impôts]]))</f>
        <v/>
      </c>
      <c r="U17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7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7" s="10" t="str">
        <f>IF(Tableau1722[[#This Row],[Montant HT]]="","",Tableau134556571126[[#This Row],[Marge nette sur prestation ]]/Tableau1345561025[[#This Row],[Coût de revient unitaire]])</f>
        <v/>
      </c>
      <c r="X17" s="10" t="str">
        <f>IF(Tableau1722[[#This Row],[Montant HT]]="","",Tableau134556571126[[#This Row],[Marge nette sur prestation ]]/Tableau1722[[#This Row],[Montant HT]])</f>
        <v/>
      </c>
    </row>
    <row r="18" spans="1:24" ht="15.75" x14ac:dyDescent="0.25">
      <c r="A18" s="61"/>
      <c r="B18" s="62"/>
      <c r="C18" s="63"/>
      <c r="D18" s="63"/>
      <c r="E18" s="63"/>
      <c r="F18" s="63"/>
      <c r="G18" s="63"/>
      <c r="H18" s="6" t="str">
        <f>IF(Tableau1722[[#This Row],[Libellé de la prestation de services]]="","",SUM(Tableau1722[[#This Row],[Matières premières]:[Frais de livraison liés aux achats]]))</f>
        <v/>
      </c>
      <c r="I18" s="63"/>
      <c r="J18" s="63"/>
      <c r="K18" s="6" t="str">
        <f>IF(Tableau1722[[#This Row],[Libellé de la prestation de services]]="","",SUM(Tableau1722[[#This Row],[Mains d’œuvre avec charges sociales et patronales,]:[Charges locatives]]))</f>
        <v/>
      </c>
      <c r="L18" s="64"/>
      <c r="M18" s="64"/>
      <c r="N18" s="64"/>
      <c r="O18" s="64"/>
      <c r="P18" s="6" t="str">
        <f>IF(Tableau1722[[#This Row],[Libellé de la prestation de services]]="","",SUM(Tableau1354823[[#This Row],[Marketing]:[Livraison]]))</f>
        <v/>
      </c>
      <c r="Q18" s="63"/>
      <c r="R18" s="63"/>
      <c r="S18" s="63"/>
      <c r="T18" s="6" t="str">
        <f>IF(Tableau1722[[#This Row],[Libellé de la prestation de services]]="","",SUM(Tableau13455924[[#This Row],[services généraux]:[impôts]]))</f>
        <v/>
      </c>
      <c r="U18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8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8" s="10" t="str">
        <f>IF(Tableau1722[[#This Row],[Montant HT]]="","",Tableau134556571126[[#This Row],[Marge nette sur prestation ]]/Tableau1345561025[[#This Row],[Coût de revient unitaire]])</f>
        <v/>
      </c>
      <c r="X18" s="10" t="str">
        <f>IF(Tableau1722[[#This Row],[Montant HT]]="","",Tableau134556571126[[#This Row],[Marge nette sur prestation ]]/Tableau1722[[#This Row],[Montant HT]])</f>
        <v/>
      </c>
    </row>
    <row r="19" spans="1:24" ht="15.75" x14ac:dyDescent="0.25">
      <c r="A19" s="61"/>
      <c r="B19" s="62"/>
      <c r="C19" s="63"/>
      <c r="D19" s="63"/>
      <c r="E19" s="63"/>
      <c r="F19" s="63"/>
      <c r="G19" s="63"/>
      <c r="H19" s="6" t="str">
        <f>IF(Tableau1722[[#This Row],[Libellé de la prestation de services]]="","",SUM(Tableau1722[[#This Row],[Matières premières]:[Frais de livraison liés aux achats]]))</f>
        <v/>
      </c>
      <c r="I19" s="63"/>
      <c r="J19" s="63"/>
      <c r="K19" s="6" t="str">
        <f>IF(Tableau1722[[#This Row],[Libellé de la prestation de services]]="","",SUM(Tableau1722[[#This Row],[Mains d’œuvre avec charges sociales et patronales,]:[Charges locatives]]))</f>
        <v/>
      </c>
      <c r="L19" s="64"/>
      <c r="M19" s="64"/>
      <c r="N19" s="64"/>
      <c r="O19" s="64"/>
      <c r="P19" s="6" t="str">
        <f>IF(Tableau1722[[#This Row],[Libellé de la prestation de services]]="","",SUM(Tableau1354823[[#This Row],[Marketing]:[Livraison]]))</f>
        <v/>
      </c>
      <c r="Q19" s="63"/>
      <c r="R19" s="63"/>
      <c r="S19" s="63"/>
      <c r="T19" s="6" t="str">
        <f>IF(Tableau1722[[#This Row],[Libellé de la prestation de services]]="","",SUM(Tableau13455924[[#This Row],[services généraux]:[impôts]]))</f>
        <v/>
      </c>
      <c r="U19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19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19" s="10" t="str">
        <f>IF(Tableau1722[[#This Row],[Montant HT]]="","",Tableau134556571126[[#This Row],[Marge nette sur prestation ]]/Tableau1345561025[[#This Row],[Coût de revient unitaire]])</f>
        <v/>
      </c>
      <c r="X19" s="10" t="str">
        <f>IF(Tableau1722[[#This Row],[Montant HT]]="","",Tableau134556571126[[#This Row],[Marge nette sur prestation ]]/Tableau1722[[#This Row],[Montant HT]])</f>
        <v/>
      </c>
    </row>
    <row r="20" spans="1:24" ht="15.75" x14ac:dyDescent="0.25">
      <c r="A20" s="61"/>
      <c r="B20" s="62"/>
      <c r="C20" s="63"/>
      <c r="D20" s="63"/>
      <c r="E20" s="63"/>
      <c r="F20" s="63"/>
      <c r="G20" s="63"/>
      <c r="H20" s="6" t="str">
        <f>IF(Tableau1722[[#This Row],[Libellé de la prestation de services]]="","",SUM(Tableau1722[[#This Row],[Matières premières]:[Frais de livraison liés aux achats]]))</f>
        <v/>
      </c>
      <c r="I20" s="63"/>
      <c r="J20" s="63"/>
      <c r="K20" s="6" t="str">
        <f>IF(Tableau1722[[#This Row],[Libellé de la prestation de services]]="","",SUM(Tableau1722[[#This Row],[Mains d’œuvre avec charges sociales et patronales,]:[Charges locatives]]))</f>
        <v/>
      </c>
      <c r="L20" s="64"/>
      <c r="M20" s="64"/>
      <c r="N20" s="64"/>
      <c r="O20" s="64"/>
      <c r="P20" s="6" t="str">
        <f>IF(Tableau1722[[#This Row],[Libellé de la prestation de services]]="","",SUM(Tableau1354823[[#This Row],[Marketing]:[Livraison]]))</f>
        <v/>
      </c>
      <c r="Q20" s="63"/>
      <c r="R20" s="63"/>
      <c r="S20" s="63"/>
      <c r="T20" s="6" t="str">
        <f>IF(Tableau1722[[#This Row],[Libellé de la prestation de services]]="","",SUM(Tableau13455924[[#This Row],[services généraux]:[impôts]]))</f>
        <v/>
      </c>
      <c r="U20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0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0" s="10" t="str">
        <f>IF(Tableau1722[[#This Row],[Montant HT]]="","",Tableau134556571126[[#This Row],[Marge nette sur prestation ]]/Tableau1345561025[[#This Row],[Coût de revient unitaire]])</f>
        <v/>
      </c>
      <c r="X20" s="10" t="str">
        <f>IF(Tableau1722[[#This Row],[Montant HT]]="","",Tableau134556571126[[#This Row],[Marge nette sur prestation ]]/Tableau1722[[#This Row],[Montant HT]])</f>
        <v/>
      </c>
    </row>
    <row r="21" spans="1:24" ht="15.75" x14ac:dyDescent="0.25">
      <c r="A21" s="61"/>
      <c r="B21" s="62"/>
      <c r="C21" s="63"/>
      <c r="D21" s="63"/>
      <c r="E21" s="63"/>
      <c r="F21" s="63"/>
      <c r="G21" s="63"/>
      <c r="H21" s="6" t="str">
        <f>IF(Tableau1722[[#This Row],[Libellé de la prestation de services]]="","",SUM(Tableau1722[[#This Row],[Matières premières]:[Frais de livraison liés aux achats]]))</f>
        <v/>
      </c>
      <c r="I21" s="63"/>
      <c r="J21" s="63"/>
      <c r="K21" s="6" t="str">
        <f>IF(Tableau1722[[#This Row],[Libellé de la prestation de services]]="","",SUM(Tableau1722[[#This Row],[Mains d’œuvre avec charges sociales et patronales,]:[Charges locatives]]))</f>
        <v/>
      </c>
      <c r="L21" s="64"/>
      <c r="M21" s="64"/>
      <c r="N21" s="64"/>
      <c r="O21" s="64"/>
      <c r="P21" s="6" t="str">
        <f>IF(Tableau1722[[#This Row],[Libellé de la prestation de services]]="","",SUM(Tableau1354823[[#This Row],[Marketing]:[Livraison]]))</f>
        <v/>
      </c>
      <c r="Q21" s="63"/>
      <c r="R21" s="63"/>
      <c r="S21" s="63"/>
      <c r="T21" s="6" t="str">
        <f>IF(Tableau1722[[#This Row],[Libellé de la prestation de services]]="","",SUM(Tableau13455924[[#This Row],[services généraux]:[impôts]]))</f>
        <v/>
      </c>
      <c r="U21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1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1" s="10" t="str">
        <f>IF(Tableau1722[[#This Row],[Montant HT]]="","",Tableau134556571126[[#This Row],[Marge nette sur prestation ]]/Tableau1345561025[[#This Row],[Coût de revient unitaire]])</f>
        <v/>
      </c>
      <c r="X21" s="10" t="str">
        <f>IF(Tableau1722[[#This Row],[Montant HT]]="","",Tableau134556571126[[#This Row],[Marge nette sur prestation ]]/Tableau1722[[#This Row],[Montant HT]])</f>
        <v/>
      </c>
    </row>
    <row r="22" spans="1:24" ht="15.75" x14ac:dyDescent="0.25">
      <c r="A22" s="61"/>
      <c r="B22" s="62"/>
      <c r="C22" s="63"/>
      <c r="D22" s="63"/>
      <c r="E22" s="63"/>
      <c r="F22" s="63"/>
      <c r="G22" s="63"/>
      <c r="H22" s="6" t="str">
        <f>IF(Tableau1722[[#This Row],[Libellé de la prestation de services]]="","",SUM(Tableau1722[[#This Row],[Matières premières]:[Frais de livraison liés aux achats]]))</f>
        <v/>
      </c>
      <c r="I22" s="63"/>
      <c r="J22" s="63"/>
      <c r="K22" s="6" t="str">
        <f>IF(Tableau1722[[#This Row],[Libellé de la prestation de services]]="","",SUM(Tableau1722[[#This Row],[Mains d’œuvre avec charges sociales et patronales,]:[Charges locatives]]))</f>
        <v/>
      </c>
      <c r="L22" s="64"/>
      <c r="M22" s="64"/>
      <c r="N22" s="64"/>
      <c r="O22" s="64"/>
      <c r="P22" s="6" t="str">
        <f>IF(Tableau1722[[#This Row],[Libellé de la prestation de services]]="","",SUM(Tableau1354823[[#This Row],[Marketing]:[Livraison]]))</f>
        <v/>
      </c>
      <c r="Q22" s="63"/>
      <c r="R22" s="63"/>
      <c r="S22" s="63"/>
      <c r="T22" s="6" t="str">
        <f>IF(Tableau1722[[#This Row],[Libellé de la prestation de services]]="","",SUM(Tableau13455924[[#This Row],[services généraux]:[impôts]]))</f>
        <v/>
      </c>
      <c r="U22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2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2" s="10" t="str">
        <f>IF(Tableau1722[[#This Row],[Montant HT]]="","",Tableau134556571126[[#This Row],[Marge nette sur prestation ]]/Tableau1345561025[[#This Row],[Coût de revient unitaire]])</f>
        <v/>
      </c>
      <c r="X22" s="10" t="str">
        <f>IF(Tableau1722[[#This Row],[Montant HT]]="","",Tableau134556571126[[#This Row],[Marge nette sur prestation ]]/Tableau1722[[#This Row],[Montant HT]])</f>
        <v/>
      </c>
    </row>
    <row r="23" spans="1:24" ht="15.75" x14ac:dyDescent="0.25">
      <c r="A23" s="61"/>
      <c r="B23" s="62"/>
      <c r="C23" s="63"/>
      <c r="D23" s="63"/>
      <c r="E23" s="63"/>
      <c r="F23" s="63"/>
      <c r="G23" s="63"/>
      <c r="H23" s="6" t="str">
        <f>IF(Tableau1722[[#This Row],[Libellé de la prestation de services]]="","",SUM(Tableau1722[[#This Row],[Matières premières]:[Frais de livraison liés aux achats]]))</f>
        <v/>
      </c>
      <c r="I23" s="63"/>
      <c r="J23" s="63"/>
      <c r="K23" s="6" t="str">
        <f>IF(Tableau1722[[#This Row],[Libellé de la prestation de services]]="","",SUM(Tableau1722[[#This Row],[Mains d’œuvre avec charges sociales et patronales,]:[Charges locatives]]))</f>
        <v/>
      </c>
      <c r="L23" s="64"/>
      <c r="M23" s="64"/>
      <c r="N23" s="64"/>
      <c r="O23" s="64"/>
      <c r="P23" s="6" t="str">
        <f>IF(Tableau1722[[#This Row],[Libellé de la prestation de services]]="","",SUM(Tableau1354823[[#This Row],[Marketing]:[Livraison]]))</f>
        <v/>
      </c>
      <c r="Q23" s="63"/>
      <c r="R23" s="63"/>
      <c r="S23" s="63"/>
      <c r="T23" s="6" t="str">
        <f>IF(Tableau1722[[#This Row],[Libellé de la prestation de services]]="","",SUM(Tableau13455924[[#This Row],[services généraux]:[impôts]]))</f>
        <v/>
      </c>
      <c r="U23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3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3" s="10" t="str">
        <f>IF(Tableau1722[[#This Row],[Montant HT]]="","",Tableau134556571126[[#This Row],[Marge nette sur prestation ]]/Tableau1345561025[[#This Row],[Coût de revient unitaire]])</f>
        <v/>
      </c>
      <c r="X23" s="10" t="str">
        <f>IF(Tableau1722[[#This Row],[Montant HT]]="","",Tableau134556571126[[#This Row],[Marge nette sur prestation ]]/Tableau1722[[#This Row],[Montant HT]])</f>
        <v/>
      </c>
    </row>
    <row r="24" spans="1:24" ht="15.75" x14ac:dyDescent="0.25">
      <c r="A24" s="61"/>
      <c r="B24" s="62"/>
      <c r="C24" s="63"/>
      <c r="D24" s="63"/>
      <c r="E24" s="63"/>
      <c r="F24" s="63"/>
      <c r="G24" s="63"/>
      <c r="H24" s="6" t="str">
        <f>IF(Tableau1722[[#This Row],[Libellé de la prestation de services]]="","",SUM(Tableau1722[[#This Row],[Matières premières]:[Frais de livraison liés aux achats]]))</f>
        <v/>
      </c>
      <c r="I24" s="63"/>
      <c r="J24" s="63"/>
      <c r="K24" s="6" t="str">
        <f>IF(Tableau1722[[#This Row],[Libellé de la prestation de services]]="","",SUM(Tableau1722[[#This Row],[Mains d’œuvre avec charges sociales et patronales,]:[Charges locatives]]))</f>
        <v/>
      </c>
      <c r="L24" s="64"/>
      <c r="M24" s="64"/>
      <c r="N24" s="64"/>
      <c r="O24" s="64"/>
      <c r="P24" s="6" t="str">
        <f>IF(Tableau1722[[#This Row],[Libellé de la prestation de services]]="","",SUM(Tableau1354823[[#This Row],[Marketing]:[Livraison]]))</f>
        <v/>
      </c>
      <c r="Q24" s="63"/>
      <c r="R24" s="63"/>
      <c r="S24" s="63"/>
      <c r="T24" s="6" t="str">
        <f>IF(Tableau1722[[#This Row],[Libellé de la prestation de services]]="","",SUM(Tableau13455924[[#This Row],[services généraux]:[impôts]]))</f>
        <v/>
      </c>
      <c r="U24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4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4" s="10" t="str">
        <f>IF(Tableau1722[[#This Row],[Montant HT]]="","",Tableau134556571126[[#This Row],[Marge nette sur prestation ]]/Tableau1345561025[[#This Row],[Coût de revient unitaire]])</f>
        <v/>
      </c>
      <c r="X24" s="10" t="str">
        <f>IF(Tableau1722[[#This Row],[Montant HT]]="","",Tableau134556571126[[#This Row],[Marge nette sur prestation ]]/Tableau1722[[#This Row],[Montant HT]])</f>
        <v/>
      </c>
    </row>
    <row r="25" spans="1:24" ht="15.75" x14ac:dyDescent="0.25">
      <c r="A25" s="61"/>
      <c r="B25" s="62"/>
      <c r="C25" s="63"/>
      <c r="D25" s="63"/>
      <c r="E25" s="63"/>
      <c r="F25" s="63"/>
      <c r="G25" s="63"/>
      <c r="H25" s="6" t="str">
        <f>IF(Tableau1722[[#This Row],[Libellé de la prestation de services]]="","",SUM(Tableau1722[[#This Row],[Matières premières]:[Frais de livraison liés aux achats]]))</f>
        <v/>
      </c>
      <c r="I25" s="63"/>
      <c r="J25" s="63"/>
      <c r="K25" s="6" t="str">
        <f>IF(Tableau1722[[#This Row],[Libellé de la prestation de services]]="","",SUM(Tableau1722[[#This Row],[Mains d’œuvre avec charges sociales et patronales,]:[Charges locatives]]))</f>
        <v/>
      </c>
      <c r="L25" s="64"/>
      <c r="M25" s="64"/>
      <c r="N25" s="64"/>
      <c r="O25" s="64"/>
      <c r="P25" s="6" t="str">
        <f>IF(Tableau1722[[#This Row],[Libellé de la prestation de services]]="","",SUM(Tableau1354823[[#This Row],[Marketing]:[Livraison]]))</f>
        <v/>
      </c>
      <c r="Q25" s="63"/>
      <c r="R25" s="63"/>
      <c r="S25" s="63"/>
      <c r="T25" s="6" t="str">
        <f>IF(Tableau1722[[#This Row],[Libellé de la prestation de services]]="","",SUM(Tableau13455924[[#This Row],[services généraux]:[impôts]]))</f>
        <v/>
      </c>
      <c r="U25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5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5" s="10" t="str">
        <f>IF(Tableau1722[[#This Row],[Montant HT]]="","",Tableau134556571126[[#This Row],[Marge nette sur prestation ]]/Tableau1345561025[[#This Row],[Coût de revient unitaire]])</f>
        <v/>
      </c>
      <c r="X25" s="10" t="str">
        <f>IF(Tableau1722[[#This Row],[Montant HT]]="","",Tableau134556571126[[#This Row],[Marge nette sur prestation ]]/Tableau1722[[#This Row],[Montant HT]])</f>
        <v/>
      </c>
    </row>
    <row r="26" spans="1:24" ht="15.75" x14ac:dyDescent="0.25">
      <c r="A26" s="61"/>
      <c r="B26" s="62"/>
      <c r="C26" s="63"/>
      <c r="D26" s="63"/>
      <c r="E26" s="63"/>
      <c r="F26" s="63"/>
      <c r="G26" s="63"/>
      <c r="H26" s="6" t="str">
        <f>IF(Tableau1722[[#This Row],[Libellé de la prestation de services]]="","",SUM(Tableau1722[[#This Row],[Matières premières]:[Frais de livraison liés aux achats]]))</f>
        <v/>
      </c>
      <c r="I26" s="63"/>
      <c r="J26" s="63"/>
      <c r="K26" s="6" t="str">
        <f>IF(Tableau1722[[#This Row],[Libellé de la prestation de services]]="","",SUM(Tableau1722[[#This Row],[Mains d’œuvre avec charges sociales et patronales,]:[Charges locatives]]))</f>
        <v/>
      </c>
      <c r="L26" s="64"/>
      <c r="M26" s="64"/>
      <c r="N26" s="64"/>
      <c r="O26" s="64"/>
      <c r="P26" s="6" t="str">
        <f>IF(Tableau1722[[#This Row],[Libellé de la prestation de services]]="","",SUM(Tableau1354823[[#This Row],[Marketing]:[Livraison]]))</f>
        <v/>
      </c>
      <c r="Q26" s="63"/>
      <c r="R26" s="63"/>
      <c r="S26" s="63"/>
      <c r="T26" s="6" t="str">
        <f>IF(Tableau1722[[#This Row],[Libellé de la prestation de services]]="","",SUM(Tableau13455924[[#This Row],[services généraux]:[impôts]]))</f>
        <v/>
      </c>
      <c r="U26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6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6" s="10" t="str">
        <f>IF(Tableau1722[[#This Row],[Montant HT]]="","",Tableau134556571126[[#This Row],[Marge nette sur prestation ]]/Tableau1345561025[[#This Row],[Coût de revient unitaire]])</f>
        <v/>
      </c>
      <c r="X26" s="10" t="str">
        <f>IF(Tableau1722[[#This Row],[Montant HT]]="","",Tableau134556571126[[#This Row],[Marge nette sur prestation ]]/Tableau1722[[#This Row],[Montant HT]])</f>
        <v/>
      </c>
    </row>
    <row r="27" spans="1:24" ht="15.75" x14ac:dyDescent="0.25">
      <c r="A27" s="61"/>
      <c r="B27" s="62"/>
      <c r="C27" s="63"/>
      <c r="D27" s="63"/>
      <c r="E27" s="63"/>
      <c r="F27" s="63"/>
      <c r="G27" s="63"/>
      <c r="H27" s="6" t="str">
        <f>IF(Tableau1722[[#This Row],[Libellé de la prestation de services]]="","",SUM(Tableau1722[[#This Row],[Matières premières]:[Frais de livraison liés aux achats]]))</f>
        <v/>
      </c>
      <c r="I27" s="63"/>
      <c r="J27" s="63"/>
      <c r="K27" s="6" t="str">
        <f>IF(Tableau1722[[#This Row],[Libellé de la prestation de services]]="","",SUM(Tableau1722[[#This Row],[Mains d’œuvre avec charges sociales et patronales,]:[Charges locatives]]))</f>
        <v/>
      </c>
      <c r="L27" s="64"/>
      <c r="M27" s="64"/>
      <c r="N27" s="64"/>
      <c r="O27" s="64"/>
      <c r="P27" s="6" t="str">
        <f>IF(Tableau1722[[#This Row],[Libellé de la prestation de services]]="","",SUM(Tableau1354823[[#This Row],[Marketing]:[Livraison]]))</f>
        <v/>
      </c>
      <c r="Q27" s="63"/>
      <c r="R27" s="63"/>
      <c r="S27" s="63"/>
      <c r="T27" s="6" t="str">
        <f>IF(Tableau1722[[#This Row],[Libellé de la prestation de services]]="","",SUM(Tableau13455924[[#This Row],[services généraux]:[impôts]]))</f>
        <v/>
      </c>
      <c r="U27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7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7" s="10" t="str">
        <f>IF(Tableau1722[[#This Row],[Montant HT]]="","",Tableau134556571126[[#This Row],[Marge nette sur prestation ]]/Tableau1345561025[[#This Row],[Coût de revient unitaire]])</f>
        <v/>
      </c>
      <c r="X27" s="10" t="str">
        <f>IF(Tableau1722[[#This Row],[Montant HT]]="","",Tableau134556571126[[#This Row],[Marge nette sur prestation ]]/Tableau1722[[#This Row],[Montant HT]])</f>
        <v/>
      </c>
    </row>
    <row r="28" spans="1:24" ht="15.75" x14ac:dyDescent="0.25">
      <c r="A28" s="61"/>
      <c r="B28" s="62"/>
      <c r="C28" s="63"/>
      <c r="D28" s="63"/>
      <c r="E28" s="63"/>
      <c r="F28" s="63"/>
      <c r="G28" s="63"/>
      <c r="H28" s="6" t="str">
        <f>IF(Tableau1722[[#This Row],[Libellé de la prestation de services]]="","",SUM(Tableau1722[[#This Row],[Matières premières]:[Frais de livraison liés aux achats]]))</f>
        <v/>
      </c>
      <c r="I28" s="63"/>
      <c r="J28" s="63"/>
      <c r="K28" s="6" t="str">
        <f>IF(Tableau1722[[#This Row],[Libellé de la prestation de services]]="","",SUM(Tableau1722[[#This Row],[Mains d’œuvre avec charges sociales et patronales,]:[Charges locatives]]))</f>
        <v/>
      </c>
      <c r="L28" s="64"/>
      <c r="M28" s="64"/>
      <c r="N28" s="64"/>
      <c r="O28" s="64"/>
      <c r="P28" s="6" t="str">
        <f>IF(Tableau1722[[#This Row],[Libellé de la prestation de services]]="","",SUM(Tableau1354823[[#This Row],[Marketing]:[Livraison]]))</f>
        <v/>
      </c>
      <c r="Q28" s="63"/>
      <c r="R28" s="63"/>
      <c r="S28" s="63"/>
      <c r="T28" s="6" t="str">
        <f>IF(Tableau1722[[#This Row],[Libellé de la prestation de services]]="","",SUM(Tableau13455924[[#This Row],[services généraux]:[impôts]]))</f>
        <v/>
      </c>
      <c r="U28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8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8" s="10" t="str">
        <f>IF(Tableau1722[[#This Row],[Montant HT]]="","",Tableau134556571126[[#This Row],[Marge nette sur prestation ]]/Tableau1345561025[[#This Row],[Coût de revient unitaire]])</f>
        <v/>
      </c>
      <c r="X28" s="10" t="str">
        <f>IF(Tableau1722[[#This Row],[Montant HT]]="","",Tableau134556571126[[#This Row],[Marge nette sur prestation ]]/Tableau1722[[#This Row],[Montant HT]])</f>
        <v/>
      </c>
    </row>
    <row r="29" spans="1:24" ht="15.75" x14ac:dyDescent="0.25">
      <c r="A29" s="61"/>
      <c r="B29" s="62"/>
      <c r="C29" s="63"/>
      <c r="D29" s="63"/>
      <c r="E29" s="63"/>
      <c r="F29" s="63"/>
      <c r="G29" s="63"/>
      <c r="H29" s="6" t="str">
        <f>IF(Tableau1722[[#This Row],[Libellé de la prestation de services]]="","",SUM(Tableau1722[[#This Row],[Matières premières]:[Frais de livraison liés aux achats]]))</f>
        <v/>
      </c>
      <c r="I29" s="63"/>
      <c r="J29" s="63"/>
      <c r="K29" s="6" t="str">
        <f>IF(Tableau1722[[#This Row],[Libellé de la prestation de services]]="","",SUM(Tableau1722[[#This Row],[Mains d’œuvre avec charges sociales et patronales,]:[Charges locatives]]))</f>
        <v/>
      </c>
      <c r="L29" s="64"/>
      <c r="M29" s="64"/>
      <c r="N29" s="64"/>
      <c r="O29" s="64"/>
      <c r="P29" s="6" t="str">
        <f>IF(Tableau1722[[#This Row],[Libellé de la prestation de services]]="","",SUM(Tableau1354823[[#This Row],[Marketing]:[Livraison]]))</f>
        <v/>
      </c>
      <c r="Q29" s="63"/>
      <c r="R29" s="63"/>
      <c r="S29" s="63"/>
      <c r="T29" s="6" t="str">
        <f>IF(Tableau1722[[#This Row],[Libellé de la prestation de services]]="","",SUM(Tableau13455924[[#This Row],[services généraux]:[impôts]]))</f>
        <v/>
      </c>
      <c r="U29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29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29" s="10" t="str">
        <f>IF(Tableau1722[[#This Row],[Montant HT]]="","",Tableau134556571126[[#This Row],[Marge nette sur prestation ]]/Tableau1345561025[[#This Row],[Coût de revient unitaire]])</f>
        <v/>
      </c>
      <c r="X29" s="10" t="str">
        <f>IF(Tableau1722[[#This Row],[Montant HT]]="","",Tableau134556571126[[#This Row],[Marge nette sur prestation ]]/Tableau1722[[#This Row],[Montant HT]])</f>
        <v/>
      </c>
    </row>
    <row r="30" spans="1:24" ht="15.75" x14ac:dyDescent="0.25">
      <c r="A30" s="61"/>
      <c r="B30" s="62"/>
      <c r="C30" s="63"/>
      <c r="D30" s="63"/>
      <c r="E30" s="63"/>
      <c r="F30" s="63"/>
      <c r="G30" s="63"/>
      <c r="H30" s="6" t="str">
        <f>IF(Tableau1722[[#This Row],[Libellé de la prestation de services]]="","",SUM(Tableau1722[[#This Row],[Matières premières]:[Frais de livraison liés aux achats]]))</f>
        <v/>
      </c>
      <c r="I30" s="63"/>
      <c r="J30" s="63"/>
      <c r="K30" s="6" t="str">
        <f>IF(Tableau1722[[#This Row],[Libellé de la prestation de services]]="","",SUM(Tableau1722[[#This Row],[Mains d’œuvre avec charges sociales et patronales,]:[Charges locatives]]))</f>
        <v/>
      </c>
      <c r="L30" s="64"/>
      <c r="M30" s="64"/>
      <c r="N30" s="64"/>
      <c r="O30" s="64"/>
      <c r="P30" s="6" t="str">
        <f>IF(Tableau1722[[#This Row],[Libellé de la prestation de services]]="","",SUM(Tableau1354823[[#This Row],[Marketing]:[Livraison]]))</f>
        <v/>
      </c>
      <c r="Q30" s="63"/>
      <c r="R30" s="63"/>
      <c r="S30" s="63"/>
      <c r="T30" s="6" t="str">
        <f>IF(Tableau1722[[#This Row],[Libellé de la prestation de services]]="","",SUM(Tableau13455924[[#This Row],[services généraux]:[impôts]]))</f>
        <v/>
      </c>
      <c r="U30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0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0" s="10" t="str">
        <f>IF(Tableau1722[[#This Row],[Montant HT]]="","",Tableau134556571126[[#This Row],[Marge nette sur prestation ]]/Tableau1345561025[[#This Row],[Coût de revient unitaire]])</f>
        <v/>
      </c>
      <c r="X30" s="10" t="str">
        <f>IF(Tableau1722[[#This Row],[Montant HT]]="","",Tableau134556571126[[#This Row],[Marge nette sur prestation ]]/Tableau1722[[#This Row],[Montant HT]])</f>
        <v/>
      </c>
    </row>
    <row r="31" spans="1:24" ht="15.75" x14ac:dyDescent="0.25">
      <c r="A31" s="61"/>
      <c r="B31" s="62"/>
      <c r="C31" s="63"/>
      <c r="D31" s="63"/>
      <c r="E31" s="63"/>
      <c r="F31" s="63"/>
      <c r="G31" s="63"/>
      <c r="H31" s="6" t="str">
        <f>IF(Tableau1722[[#This Row],[Libellé de la prestation de services]]="","",SUM(Tableau1722[[#This Row],[Matières premières]:[Frais de livraison liés aux achats]]))</f>
        <v/>
      </c>
      <c r="I31" s="63"/>
      <c r="J31" s="63"/>
      <c r="K31" s="6" t="str">
        <f>IF(Tableau1722[[#This Row],[Libellé de la prestation de services]]="","",SUM(Tableau1722[[#This Row],[Mains d’œuvre avec charges sociales et patronales,]:[Charges locatives]]))</f>
        <v/>
      </c>
      <c r="L31" s="64"/>
      <c r="M31" s="64"/>
      <c r="N31" s="64"/>
      <c r="O31" s="64"/>
      <c r="P31" s="6" t="str">
        <f>IF(Tableau1722[[#This Row],[Libellé de la prestation de services]]="","",SUM(Tableau1354823[[#This Row],[Marketing]:[Livraison]]))</f>
        <v/>
      </c>
      <c r="Q31" s="63"/>
      <c r="R31" s="63"/>
      <c r="S31" s="63"/>
      <c r="T31" s="6" t="str">
        <f>IF(Tableau1722[[#This Row],[Libellé de la prestation de services]]="","",SUM(Tableau13455924[[#This Row],[services généraux]:[impôts]]))</f>
        <v/>
      </c>
      <c r="U31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1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1" s="10" t="str">
        <f>IF(Tableau1722[[#This Row],[Montant HT]]="","",Tableau134556571126[[#This Row],[Marge nette sur prestation ]]/Tableau1345561025[[#This Row],[Coût de revient unitaire]])</f>
        <v/>
      </c>
      <c r="X31" s="10" t="str">
        <f>IF(Tableau1722[[#This Row],[Montant HT]]="","",Tableau134556571126[[#This Row],[Marge nette sur prestation ]]/Tableau1722[[#This Row],[Montant HT]])</f>
        <v/>
      </c>
    </row>
    <row r="32" spans="1:24" ht="15.75" x14ac:dyDescent="0.25">
      <c r="A32" s="61"/>
      <c r="B32" s="62"/>
      <c r="C32" s="63"/>
      <c r="D32" s="63"/>
      <c r="E32" s="63"/>
      <c r="F32" s="63"/>
      <c r="G32" s="63"/>
      <c r="H32" s="6" t="str">
        <f>IF(Tableau1722[[#This Row],[Libellé de la prestation de services]]="","",SUM(Tableau1722[[#This Row],[Matières premières]:[Frais de livraison liés aux achats]]))</f>
        <v/>
      </c>
      <c r="I32" s="63"/>
      <c r="J32" s="63"/>
      <c r="K32" s="6" t="str">
        <f>IF(Tableau1722[[#This Row],[Libellé de la prestation de services]]="","",SUM(Tableau1722[[#This Row],[Mains d’œuvre avec charges sociales et patronales,]:[Charges locatives]]))</f>
        <v/>
      </c>
      <c r="L32" s="64"/>
      <c r="M32" s="64"/>
      <c r="N32" s="64"/>
      <c r="O32" s="64"/>
      <c r="P32" s="6" t="str">
        <f>IF(Tableau1722[[#This Row],[Libellé de la prestation de services]]="","",SUM(Tableau1354823[[#This Row],[Marketing]:[Livraison]]))</f>
        <v/>
      </c>
      <c r="Q32" s="63"/>
      <c r="R32" s="63"/>
      <c r="S32" s="63"/>
      <c r="T32" s="6" t="str">
        <f>IF(Tableau1722[[#This Row],[Libellé de la prestation de services]]="","",SUM(Tableau13455924[[#This Row],[services généraux]:[impôts]]))</f>
        <v/>
      </c>
      <c r="U32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2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2" s="10" t="str">
        <f>IF(Tableau1722[[#This Row],[Montant HT]]="","",Tableau134556571126[[#This Row],[Marge nette sur prestation ]]/Tableau1345561025[[#This Row],[Coût de revient unitaire]])</f>
        <v/>
      </c>
      <c r="X32" s="10" t="str">
        <f>IF(Tableau1722[[#This Row],[Montant HT]]="","",Tableau134556571126[[#This Row],[Marge nette sur prestation ]]/Tableau1722[[#This Row],[Montant HT]])</f>
        <v/>
      </c>
    </row>
    <row r="33" spans="1:24" ht="15.75" x14ac:dyDescent="0.25">
      <c r="A33" s="61"/>
      <c r="B33" s="62"/>
      <c r="C33" s="63"/>
      <c r="D33" s="63"/>
      <c r="E33" s="63"/>
      <c r="F33" s="63"/>
      <c r="G33" s="63"/>
      <c r="H33" s="6" t="str">
        <f>IF(Tableau1722[[#This Row],[Libellé de la prestation de services]]="","",SUM(Tableau1722[[#This Row],[Matières premières]:[Frais de livraison liés aux achats]]))</f>
        <v/>
      </c>
      <c r="I33" s="63"/>
      <c r="J33" s="63"/>
      <c r="K33" s="6" t="str">
        <f>IF(Tableau1722[[#This Row],[Libellé de la prestation de services]]="","",SUM(Tableau1722[[#This Row],[Mains d’œuvre avec charges sociales et patronales,]:[Charges locatives]]))</f>
        <v/>
      </c>
      <c r="L33" s="64"/>
      <c r="M33" s="64"/>
      <c r="N33" s="64"/>
      <c r="O33" s="64"/>
      <c r="P33" s="6" t="str">
        <f>IF(Tableau1722[[#This Row],[Libellé de la prestation de services]]="","",SUM(Tableau1354823[[#This Row],[Marketing]:[Livraison]]))</f>
        <v/>
      </c>
      <c r="Q33" s="63"/>
      <c r="R33" s="63"/>
      <c r="S33" s="63"/>
      <c r="T33" s="6" t="str">
        <f>IF(Tableau1722[[#This Row],[Libellé de la prestation de services]]="","",SUM(Tableau13455924[[#This Row],[services généraux]:[impôts]]))</f>
        <v/>
      </c>
      <c r="U33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3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3" s="10" t="str">
        <f>IF(Tableau1722[[#This Row],[Montant HT]]="","",Tableau134556571126[[#This Row],[Marge nette sur prestation ]]/Tableau1345561025[[#This Row],[Coût de revient unitaire]])</f>
        <v/>
      </c>
      <c r="X33" s="10" t="str">
        <f>IF(Tableau1722[[#This Row],[Montant HT]]="","",Tableau134556571126[[#This Row],[Marge nette sur prestation ]]/Tableau1722[[#This Row],[Montant HT]])</f>
        <v/>
      </c>
    </row>
    <row r="34" spans="1:24" ht="15.75" x14ac:dyDescent="0.25">
      <c r="A34" s="61"/>
      <c r="B34" s="62"/>
      <c r="C34" s="63"/>
      <c r="D34" s="63"/>
      <c r="E34" s="63"/>
      <c r="F34" s="63"/>
      <c r="G34" s="63"/>
      <c r="H34" s="6" t="str">
        <f>IF(Tableau1722[[#This Row],[Libellé de la prestation de services]]="","",SUM(Tableau1722[[#This Row],[Matières premières]:[Frais de livraison liés aux achats]]))</f>
        <v/>
      </c>
      <c r="I34" s="63"/>
      <c r="J34" s="63"/>
      <c r="K34" s="6" t="str">
        <f>IF(Tableau1722[[#This Row],[Libellé de la prestation de services]]="","",SUM(Tableau1722[[#This Row],[Mains d’œuvre avec charges sociales et patronales,]:[Charges locatives]]))</f>
        <v/>
      </c>
      <c r="L34" s="64"/>
      <c r="M34" s="64"/>
      <c r="N34" s="64"/>
      <c r="O34" s="64"/>
      <c r="P34" s="6" t="str">
        <f>IF(Tableau1722[[#This Row],[Libellé de la prestation de services]]="","",SUM(Tableau1354823[[#This Row],[Marketing]:[Livraison]]))</f>
        <v/>
      </c>
      <c r="Q34" s="63"/>
      <c r="R34" s="63"/>
      <c r="S34" s="63"/>
      <c r="T34" s="6" t="str">
        <f>IF(Tableau1722[[#This Row],[Libellé de la prestation de services]]="","",SUM(Tableau13455924[[#This Row],[services généraux]:[impôts]]))</f>
        <v/>
      </c>
      <c r="U34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4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4" s="10" t="str">
        <f>IF(Tableau1722[[#This Row],[Montant HT]]="","",Tableau134556571126[[#This Row],[Marge nette sur prestation ]]/Tableau1345561025[[#This Row],[Coût de revient unitaire]])</f>
        <v/>
      </c>
      <c r="X34" s="10" t="str">
        <f>IF(Tableau1722[[#This Row],[Montant HT]]="","",Tableau134556571126[[#This Row],[Marge nette sur prestation ]]/Tableau1722[[#This Row],[Montant HT]])</f>
        <v/>
      </c>
    </row>
    <row r="35" spans="1:24" ht="15.75" x14ac:dyDescent="0.25">
      <c r="A35" s="61"/>
      <c r="B35" s="62"/>
      <c r="C35" s="63"/>
      <c r="D35" s="63"/>
      <c r="E35" s="63"/>
      <c r="F35" s="63"/>
      <c r="G35" s="63"/>
      <c r="H35" s="6" t="str">
        <f>IF(Tableau1722[[#This Row],[Libellé de la prestation de services]]="","",SUM(Tableau1722[[#This Row],[Matières premières]:[Frais de livraison liés aux achats]]))</f>
        <v/>
      </c>
      <c r="I35" s="63"/>
      <c r="J35" s="63"/>
      <c r="K35" s="6" t="str">
        <f>IF(Tableau1722[[#This Row],[Libellé de la prestation de services]]="","",SUM(Tableau1722[[#This Row],[Mains d’œuvre avec charges sociales et patronales,]:[Charges locatives]]))</f>
        <v/>
      </c>
      <c r="L35" s="64"/>
      <c r="M35" s="64"/>
      <c r="N35" s="64"/>
      <c r="O35" s="64"/>
      <c r="P35" s="6" t="str">
        <f>IF(Tableau1722[[#This Row],[Libellé de la prestation de services]]="","",SUM(Tableau1354823[[#This Row],[Marketing]:[Livraison]]))</f>
        <v/>
      </c>
      <c r="Q35" s="63"/>
      <c r="R35" s="63"/>
      <c r="S35" s="63"/>
      <c r="T35" s="6" t="str">
        <f>IF(Tableau1722[[#This Row],[Libellé de la prestation de services]]="","",SUM(Tableau13455924[[#This Row],[services généraux]:[impôts]]))</f>
        <v/>
      </c>
      <c r="U35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5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5" s="10" t="str">
        <f>IF(Tableau1722[[#This Row],[Montant HT]]="","",Tableau134556571126[[#This Row],[Marge nette sur prestation ]]/Tableau1345561025[[#This Row],[Coût de revient unitaire]])</f>
        <v/>
      </c>
      <c r="X35" s="10" t="str">
        <f>IF(Tableau1722[[#This Row],[Montant HT]]="","",Tableau134556571126[[#This Row],[Marge nette sur prestation ]]/Tableau1722[[#This Row],[Montant HT]])</f>
        <v/>
      </c>
    </row>
    <row r="36" spans="1:24" ht="15.75" x14ac:dyDescent="0.25">
      <c r="A36" s="61"/>
      <c r="B36" s="62"/>
      <c r="C36" s="63"/>
      <c r="D36" s="63"/>
      <c r="E36" s="63"/>
      <c r="F36" s="63"/>
      <c r="G36" s="63"/>
      <c r="H36" s="6" t="str">
        <f>IF(Tableau1722[[#This Row],[Libellé de la prestation de services]]="","",SUM(Tableau1722[[#This Row],[Matières premières]:[Frais de livraison liés aux achats]]))</f>
        <v/>
      </c>
      <c r="I36" s="63"/>
      <c r="J36" s="63"/>
      <c r="K36" s="6" t="str">
        <f>IF(Tableau1722[[#This Row],[Libellé de la prestation de services]]="","",SUM(Tableau1722[[#This Row],[Mains d’œuvre avec charges sociales et patronales,]:[Charges locatives]]))</f>
        <v/>
      </c>
      <c r="L36" s="64"/>
      <c r="M36" s="64"/>
      <c r="N36" s="64"/>
      <c r="O36" s="64"/>
      <c r="P36" s="6" t="str">
        <f>IF(Tableau1722[[#This Row],[Libellé de la prestation de services]]="","",SUM(Tableau1354823[[#This Row],[Marketing]:[Livraison]]))</f>
        <v/>
      </c>
      <c r="Q36" s="63"/>
      <c r="R36" s="63"/>
      <c r="S36" s="63"/>
      <c r="T36" s="6" t="str">
        <f>IF(Tableau1722[[#This Row],[Libellé de la prestation de services]]="","",SUM(Tableau13455924[[#This Row],[services généraux]:[impôts]]))</f>
        <v/>
      </c>
      <c r="U36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6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6" s="10" t="str">
        <f>IF(Tableau1722[[#This Row],[Montant HT]]="","",Tableau134556571126[[#This Row],[Marge nette sur prestation ]]/Tableau1345561025[[#This Row],[Coût de revient unitaire]])</f>
        <v/>
      </c>
      <c r="X36" s="10" t="str">
        <f>IF(Tableau1722[[#This Row],[Montant HT]]="","",Tableau134556571126[[#This Row],[Marge nette sur prestation ]]/Tableau1722[[#This Row],[Montant HT]])</f>
        <v/>
      </c>
    </row>
    <row r="37" spans="1:24" ht="15.75" x14ac:dyDescent="0.25">
      <c r="A37" s="61"/>
      <c r="B37" s="62"/>
      <c r="C37" s="63"/>
      <c r="D37" s="63"/>
      <c r="E37" s="63"/>
      <c r="F37" s="63"/>
      <c r="G37" s="63"/>
      <c r="H37" s="6" t="str">
        <f>IF(Tableau1722[[#This Row],[Libellé de la prestation de services]]="","",SUM(Tableau1722[[#This Row],[Matières premières]:[Frais de livraison liés aux achats]]))</f>
        <v/>
      </c>
      <c r="I37" s="63"/>
      <c r="J37" s="63"/>
      <c r="K37" s="6" t="str">
        <f>IF(Tableau1722[[#This Row],[Libellé de la prestation de services]]="","",SUM(Tableau1722[[#This Row],[Mains d’œuvre avec charges sociales et patronales,]:[Charges locatives]]))</f>
        <v/>
      </c>
      <c r="L37" s="64"/>
      <c r="M37" s="64"/>
      <c r="N37" s="64"/>
      <c r="O37" s="64"/>
      <c r="P37" s="6" t="str">
        <f>IF(Tableau1722[[#This Row],[Libellé de la prestation de services]]="","",SUM(Tableau1354823[[#This Row],[Marketing]:[Livraison]]))</f>
        <v/>
      </c>
      <c r="Q37" s="63"/>
      <c r="R37" s="63"/>
      <c r="S37" s="63"/>
      <c r="T37" s="6" t="str">
        <f>IF(Tableau1722[[#This Row],[Libellé de la prestation de services]]="","",SUM(Tableau13455924[[#This Row],[services généraux]:[impôts]]))</f>
        <v/>
      </c>
      <c r="U37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7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7" s="10" t="str">
        <f>IF(Tableau1722[[#This Row],[Montant HT]]="","",Tableau134556571126[[#This Row],[Marge nette sur prestation ]]/Tableau1345561025[[#This Row],[Coût de revient unitaire]])</f>
        <v/>
      </c>
      <c r="X37" s="10" t="str">
        <f>IF(Tableau1722[[#This Row],[Montant HT]]="","",Tableau134556571126[[#This Row],[Marge nette sur prestation ]]/Tableau1722[[#This Row],[Montant HT]])</f>
        <v/>
      </c>
    </row>
    <row r="38" spans="1:24" ht="15.75" x14ac:dyDescent="0.25">
      <c r="A38" s="61"/>
      <c r="B38" s="62"/>
      <c r="C38" s="63"/>
      <c r="D38" s="63"/>
      <c r="E38" s="63"/>
      <c r="F38" s="63"/>
      <c r="G38" s="63"/>
      <c r="H38" s="6" t="str">
        <f>IF(Tableau1722[[#This Row],[Libellé de la prestation de services]]="","",SUM(Tableau1722[[#This Row],[Matières premières]:[Frais de livraison liés aux achats]]))</f>
        <v/>
      </c>
      <c r="I38" s="63"/>
      <c r="J38" s="63"/>
      <c r="K38" s="6" t="str">
        <f>IF(Tableau1722[[#This Row],[Libellé de la prestation de services]]="","",SUM(Tableau1722[[#This Row],[Mains d’œuvre avec charges sociales et patronales,]:[Charges locatives]]))</f>
        <v/>
      </c>
      <c r="L38" s="64"/>
      <c r="M38" s="64"/>
      <c r="N38" s="64"/>
      <c r="O38" s="64"/>
      <c r="P38" s="6" t="str">
        <f>IF(Tableau1722[[#This Row],[Libellé de la prestation de services]]="","",SUM(Tableau1354823[[#This Row],[Marketing]:[Livraison]]))</f>
        <v/>
      </c>
      <c r="Q38" s="63"/>
      <c r="R38" s="63"/>
      <c r="S38" s="63"/>
      <c r="T38" s="6" t="str">
        <f>IF(Tableau1722[[#This Row],[Libellé de la prestation de services]]="","",SUM(Tableau13455924[[#This Row],[services généraux]:[impôts]]))</f>
        <v/>
      </c>
      <c r="U38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8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8" s="10" t="str">
        <f>IF(Tableau1722[[#This Row],[Montant HT]]="","",Tableau134556571126[[#This Row],[Marge nette sur prestation ]]/Tableau1345561025[[#This Row],[Coût de revient unitaire]])</f>
        <v/>
      </c>
      <c r="X38" s="10" t="str">
        <f>IF(Tableau1722[[#This Row],[Montant HT]]="","",Tableau134556571126[[#This Row],[Marge nette sur prestation ]]/Tableau1722[[#This Row],[Montant HT]])</f>
        <v/>
      </c>
    </row>
    <row r="39" spans="1:24" ht="15.75" x14ac:dyDescent="0.25">
      <c r="A39" s="61"/>
      <c r="B39" s="62"/>
      <c r="C39" s="63"/>
      <c r="D39" s="63"/>
      <c r="E39" s="63"/>
      <c r="F39" s="63"/>
      <c r="G39" s="63"/>
      <c r="H39" s="6" t="str">
        <f>IF(Tableau1722[[#This Row],[Libellé de la prestation de services]]="","",SUM(Tableau1722[[#This Row],[Matières premières]:[Frais de livraison liés aux achats]]))</f>
        <v/>
      </c>
      <c r="I39" s="63"/>
      <c r="J39" s="63"/>
      <c r="K39" s="6" t="str">
        <f>IF(Tableau1722[[#This Row],[Libellé de la prestation de services]]="","",SUM(Tableau1722[[#This Row],[Mains d’œuvre avec charges sociales et patronales,]:[Charges locatives]]))</f>
        <v/>
      </c>
      <c r="L39" s="64"/>
      <c r="M39" s="64"/>
      <c r="N39" s="64"/>
      <c r="O39" s="64"/>
      <c r="P39" s="6" t="str">
        <f>IF(Tableau1722[[#This Row],[Libellé de la prestation de services]]="","",SUM(Tableau1354823[[#This Row],[Marketing]:[Livraison]]))</f>
        <v/>
      </c>
      <c r="Q39" s="63"/>
      <c r="R39" s="63"/>
      <c r="S39" s="63"/>
      <c r="T39" s="6" t="str">
        <f>IF(Tableau1722[[#This Row],[Libellé de la prestation de services]]="","",SUM(Tableau13455924[[#This Row],[services généraux]:[impôts]]))</f>
        <v/>
      </c>
      <c r="U39" s="9" t="str">
        <f>IF(Tableau1722[[#This Row],[Libellé de la prestation de services]]="","",Tableau1722[[#This Row],[Couts d''achat et d''approvisionnement]]+Tableau1354823[[#This Row],[Coûts de production]]+Tableau13455924[[#This Row],[Coûts de commercialisation et distribution]]+Tableau1345561025[[#This Row],[Coûts administratifs]])</f>
        <v/>
      </c>
      <c r="V39" s="9" t="str">
        <f>IF(Tableau1722[[#This Row],[Libellé de la prestation de services]]="","",Tableau1722[[#This Row],[Montant HT]]-Tableau1354823[[#This Row],[Coûts de production]]-Tableau13455924[[#This Row],[Coûts de commercialisation et distribution]]-Tableau1345561025[[#This Row],[Coûts administratifs]])</f>
        <v/>
      </c>
      <c r="W39" s="10" t="str">
        <f>IF(Tableau1722[[#This Row],[Montant HT]]="","",Tableau134556571126[[#This Row],[Marge nette sur prestation ]]/Tableau1345561025[[#This Row],[Coût de revient unitaire]])</f>
        <v/>
      </c>
      <c r="X39" s="10" t="str">
        <f>IF(Tableau1722[[#This Row],[Montant HT]]="","",Tableau134556571126[[#This Row],[Marge nette sur prestation ]]/Tableau1722[[#This Row],[Montant HT]])</f>
        <v/>
      </c>
    </row>
    <row r="40" spans="1:24" ht="15.75" x14ac:dyDescent="0.25">
      <c r="A40" s="8"/>
      <c r="B40" s="8">
        <f>SUBTOTAL(103,Tableau1722[Libellé de la prestation de services])</f>
        <v>0</v>
      </c>
      <c r="C40" s="7">
        <f>SUBTOTAL(109,Tableau1722[Montant HT])</f>
        <v>0</v>
      </c>
      <c r="D40" s="7">
        <f>SUBTOTAL(109,Tableau1722[Matières premières])</f>
        <v>0</v>
      </c>
      <c r="E40" s="7">
        <f>SUBTOTAL(109,Tableau1722[Marchandises])</f>
        <v>0</v>
      </c>
      <c r="F40" s="7">
        <f>SUBTOTAL(109,Tableau1722[Consommables])</f>
        <v>0</v>
      </c>
      <c r="G40" s="7">
        <f>SUBTOTAL(109,Tableau1722[Frais de livraison liés aux achats])</f>
        <v>0</v>
      </c>
      <c r="H40" s="7">
        <f>SUBTOTAL(109,Tableau1722[Couts d''achat et d''approvisionnement])</f>
        <v>0</v>
      </c>
      <c r="I40" s="7">
        <f>SUBTOTAL(109,Tableau1722[Mains d’œuvre avec charges sociales et patronales,])</f>
        <v>0</v>
      </c>
      <c r="J40" s="7">
        <f>SUBTOTAL(109,Tableau1722[Charges locatives])</f>
        <v>0</v>
      </c>
      <c r="K40" s="7">
        <f>SUBTOTAL(109,Tableau1354823[Coûts de production])</f>
        <v>0</v>
      </c>
      <c r="L40" s="7">
        <f>SUBTOTAL(109,Tableau1354823[Marketing])</f>
        <v>0</v>
      </c>
      <c r="M40" s="7">
        <f>SUBTOTAL(109,Tableau1354823[Prospection])</f>
        <v>0</v>
      </c>
      <c r="N40" s="7">
        <f>SUBTOTAL(109,Tableau1354823[Commerciaux])</f>
        <v>0</v>
      </c>
      <c r="O40" s="7">
        <f>SUBTOTAL(109,Tableau1354823[Livraison])</f>
        <v>0</v>
      </c>
      <c r="P40" s="7">
        <f>SUBTOTAL(109,Tableau13455924[Coûts de commercialisation et distribution])</f>
        <v>0</v>
      </c>
      <c r="Q40" s="7">
        <f>SUBTOTAL(109,Tableau13455924[services généraux])</f>
        <v>0</v>
      </c>
      <c r="R40" s="7">
        <f>SUBTOTAL(109,Tableau13455924[frais divers])</f>
        <v>0</v>
      </c>
      <c r="S40" s="7">
        <f>SUBTOTAL(109,Tableau13455924[impôts])</f>
        <v>0</v>
      </c>
      <c r="T40" s="7">
        <f>SUBTOTAL(109,Tableau1345561025[Coûts administratifs])</f>
        <v>0</v>
      </c>
      <c r="U40" s="7">
        <f>SUBTOTAL(109,Tableau1345561025[Coût de revient unitaire])</f>
        <v>0</v>
      </c>
      <c r="V40" s="7">
        <f>SUBTOTAL(109,Tableau134556571126[[Marge nette sur prestation ]])</f>
        <v>0</v>
      </c>
      <c r="W40" s="10"/>
      <c r="X40" s="10"/>
    </row>
  </sheetData>
  <sheetProtection password="B9A0" sheet="1" objects="1" scenarios="1"/>
  <mergeCells count="4">
    <mergeCell ref="B1:C1"/>
    <mergeCell ref="D1:K1"/>
    <mergeCell ref="L1:T1"/>
    <mergeCell ref="V1:X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Page d’accueil</vt:lpstr>
      <vt:lpstr>AIDE</vt:lpstr>
      <vt:lpstr>Déverouillage</vt:lpstr>
      <vt:lpstr>Tableau de bord 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 </vt:lpstr>
      <vt:lpstr>Octobre</vt:lpstr>
      <vt:lpstr>Novembre</vt:lpstr>
      <vt:lpstr>Décembre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houssam biramane</dc:creator>
  <cp:lastModifiedBy>Jean-Marie Bugarel</cp:lastModifiedBy>
  <dcterms:created xsi:type="dcterms:W3CDTF">2018-10-26T10:24:02Z</dcterms:created>
  <dcterms:modified xsi:type="dcterms:W3CDTF">2018-10-31T20:54:24Z</dcterms:modified>
</cp:coreProperties>
</file>